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tabRatio="784" activeTab="36"/>
  </bookViews>
  <sheets>
    <sheet name="目录" sheetId="88" r:id="rId1"/>
    <sheet name="表一、2025年公共财政预算收入执行情况表" sheetId="65" r:id="rId2"/>
    <sheet name="表二、2025年预算平衡情况表" sheetId="64" r:id="rId3"/>
    <sheet name="表三、2025年公共财政支出预算执行情况表" sheetId="70" r:id="rId4"/>
    <sheet name="表四、2025年公共财政支出变动表" sheetId="62" r:id="rId5"/>
    <sheet name="表五、2025年政府性基金收支执行明细表 " sheetId="71" r:id="rId6"/>
    <sheet name="表六、2025年政府性基金支出来源情况表 " sheetId="60" r:id="rId7"/>
    <sheet name="表七、2025年社保基金执行情况" sheetId="59" r:id="rId8"/>
    <sheet name="表八、2025年国有资本经营执行情况表" sheetId="66" r:id="rId9"/>
    <sheet name="表九、2025年三公经费执行情况表" sheetId="58" r:id="rId10"/>
    <sheet name="表十、2025年其他社保基金执行情况" sheetId="67" r:id="rId11"/>
    <sheet name="表十一、2026年一般公共预算收入表" sheetId="50" r:id="rId12"/>
    <sheet name="表十二、2026年一般公共预算支出表" sheetId="51" r:id="rId13"/>
    <sheet name="表十三、2025年一般公共预算本级支出表" sheetId="74" r:id="rId14"/>
    <sheet name="表十四、2026年一般公共预算基本支出经济分类预算表" sheetId="72" r:id="rId15"/>
    <sheet name="表十五、2026年一般公共预算本级基本支出表" sheetId="75" r:id="rId16"/>
    <sheet name="表十六、2026年一般公共预算税收返还和转移支付表" sheetId="76" r:id="rId17"/>
    <sheet name="表十七、2026年一般公共预算平衡表" sheetId="52" r:id="rId18"/>
    <sheet name="表十八、2026年一般公共预算平衡表（县级财力）" sheetId="73" r:id="rId19"/>
    <sheet name="表十九、2026年一般公共预算支出资金来源情况表" sheetId="55" r:id="rId20"/>
    <sheet name="表二十、2026年政府一般债务限额和余额情况表" sheetId="77" r:id="rId21"/>
    <sheet name="表二十一、2026年政府性基金预算收入表 " sheetId="78" r:id="rId22"/>
    <sheet name="表二十二、2026年政府性基金预算支出表" sheetId="79" r:id="rId23"/>
    <sheet name="表二十三、2026年政府性基金预算收支表" sheetId="54" r:id="rId24"/>
    <sheet name="表二十四、2026年本级政府性基金支出表" sheetId="80" r:id="rId25"/>
    <sheet name="表二十五、2026年政府性基金预算收支明细表" sheetId="48" r:id="rId26"/>
    <sheet name="表二十六、2026年政府性基金预算转移支付表" sheetId="81" r:id="rId27"/>
    <sheet name="表二十七、2026年政府性基金预算支出资金来源情况表" sheetId="47" r:id="rId28"/>
    <sheet name="表二十八、2026年政府专项债务限额和余额情况表" sheetId="82" r:id="rId29"/>
    <sheet name="表二十九、2026年社会保险金预算" sheetId="40" r:id="rId30"/>
    <sheet name="表三十、2026年社会保险金预算收入表" sheetId="83" r:id="rId31"/>
    <sheet name="表三十一、2026年社会保险金预算支出表" sheetId="84" r:id="rId32"/>
    <sheet name="表三十二、2026年国有资本经营预算收支总表" sheetId="46" r:id="rId33"/>
    <sheet name="表三十三、2026年国有资本经营预算收入表 " sheetId="85" r:id="rId34"/>
    <sheet name="表三十四、2026年国有资本经营预算支出表" sheetId="86" r:id="rId35"/>
    <sheet name="表三十五、2026年本级国有资本经营预算支出表" sheetId="87" r:id="rId36"/>
    <sheet name="表三十六、2026年三公经费预算表" sheetId="49" r:id="rId37"/>
  </sheets>
  <externalReferences>
    <externalReference r:id="rId38"/>
  </externalReferences>
  <definedNames>
    <definedName name="_xlnm._FilterDatabase" localSheetId="4" hidden="1">表四、2025年公共财政支出变动表!$A$5:$HP$226</definedName>
    <definedName name="_xlnm._FilterDatabase" localSheetId="5" hidden="1">'表五、2025年政府性基金收支执行明细表 '!$A$4:$O$216</definedName>
    <definedName name="_xlnm._FilterDatabase" localSheetId="19" hidden="1">表十九、2026年一般公共预算支出资金来源情况表!$A$4:$L$226</definedName>
    <definedName name="_xlnm._FilterDatabase" localSheetId="25" hidden="1">表二十五、2026年政府性基金预算收支明细表!$A$3:$I$227</definedName>
    <definedName name="_xlnm.Print_Area" localSheetId="3">表三、2025年公共财政支出预算执行情况表!$A$1:$H$207</definedName>
    <definedName name="_xlnm.Print_Area" localSheetId="29">表二十九、2026年社会保险金预算!$A$1:$E$16</definedName>
    <definedName name="_xlnm.Print_Area" localSheetId="12">表十二、2026年一般公共预算支出表!$A$1:$J$1313</definedName>
    <definedName name="_xlnm.Print_Area" localSheetId="27">表二十七、2026年政府性基金预算支出资金来源情况表!$A$1:$H$58</definedName>
    <definedName name="_xlnm.Print_Area" localSheetId="19">表十九、2026年一般公共预算支出资金来源情况表!$A$1:$J$215</definedName>
    <definedName name="_xlnm.Print_Area" localSheetId="11">表十一、2026年一般公共预算收入表!$A$1:$E$29</definedName>
    <definedName name="_xlnm.Print_Titles" localSheetId="2">表二、2025年预算平衡情况表!$1:$4</definedName>
    <definedName name="_xlnm.Print_Titles" localSheetId="6">'表六、2025年政府性基金支出来源情况表 '!$1:$4</definedName>
    <definedName name="_xlnm.Print_Titles" localSheetId="3">表三、2025年公共财政支出预算执行情况表!$1:$3</definedName>
    <definedName name="_xlnm.Print_Titles" localSheetId="12">表十二、2026年一般公共预算支出表!$1:$3</definedName>
    <definedName name="_xlnm.Print_Titles" localSheetId="25">表二十五、2026年政府性基金预算收支明细表!$1:$4</definedName>
    <definedName name="_xlnm.Print_Titles" localSheetId="27">表二十七、2026年政府性基金预算支出资金来源情况表!$1:$4</definedName>
    <definedName name="_xlnm.Print_Titles" localSheetId="17">表十七、2026年一般公共预算平衡表!$1:$4</definedName>
    <definedName name="_xlnm.Print_Titles" localSheetId="19">表十九、2026年一般公共预算支出资金来源情况表!$1:$4</definedName>
    <definedName name="_xlnm.Print_Titles" localSheetId="23">表二十三、2026年政府性基金预算收支表!$1:$4</definedName>
    <definedName name="_xlnm.Print_Titles" localSheetId="11">表十一、2026年一般公共预算收入表!$1:$3</definedName>
    <definedName name="_xlnm.Print_Titles" localSheetId="4">表四、2025年公共财政支出变动表!$1:$5</definedName>
    <definedName name="_xlnm.Print_Titles" localSheetId="5">'表五、2025年政府性基金收支执行明细表 '!$1:$4</definedName>
    <definedName name="_xlnm.Print_Area" localSheetId="5">'表五、2025年政府性基金收支执行明细表 '!$A$1:$L$188</definedName>
    <definedName name="_xlnm._FilterDatabase" localSheetId="3" hidden="1">表三、2025年公共财政支出预算执行情况表!$A$3:$L$214</definedName>
    <definedName name="_xlnm._FilterDatabase" localSheetId="12" hidden="1">表十二、2026年一般公共预算支出表!$A$3:$M$1315</definedName>
    <definedName name="_xlnm._FilterDatabase" localSheetId="23" hidden="1">表二十三、2026年政府性基金预算收支表!$A$4:$H$65</definedName>
    <definedName name="_xlnm._FilterDatabase" localSheetId="22" hidden="1">表二十二、2026年政府性基金预算支出表!$D$27:$D$30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<sst xmlns="http://schemas.openxmlformats.org/spreadsheetml/2006/main" count="15743" uniqueCount="5056">
  <si>
    <t>目    录</t>
  </si>
  <si>
    <t>一、2025年一般公共预算预算报表</t>
  </si>
  <si>
    <t>表一、2025年公共财政预算收入执行情况表</t>
  </si>
  <si>
    <t>表二、2025年预算平衡情况表</t>
  </si>
  <si>
    <t>表三、2025年公共财政支出预算执行情况表</t>
  </si>
  <si>
    <t>表四、2025年公共财政支出变动表</t>
  </si>
  <si>
    <t>二、2025年政府性基金预算报表</t>
  </si>
  <si>
    <t xml:space="preserve">表五、2025年政府性基金收支执行明细表 </t>
  </si>
  <si>
    <t xml:space="preserve">表六、2025年政府性基金支出来源情况表 </t>
  </si>
  <si>
    <t>三、2025年社会保险基金预算报表</t>
  </si>
  <si>
    <t>表七、2025年社保基金执行情况</t>
  </si>
  <si>
    <t>四、2025年国有资本经营预算报表</t>
  </si>
  <si>
    <t>表八、2025年国有资本经营执行情况表</t>
  </si>
  <si>
    <t>五、2025年“三公”经费预算执行情况表</t>
  </si>
  <si>
    <t>表九、2025年三公经费执行情况表</t>
  </si>
  <si>
    <t xml:space="preserve">六、2025年其他社会保障基金预算执行情况    </t>
  </si>
  <si>
    <t>表十、2025年其他社保基金执行情况</t>
  </si>
  <si>
    <t>七、2026年一般公共预算预算报表</t>
  </si>
  <si>
    <t>表十一、2026年一般公共预算收入表</t>
  </si>
  <si>
    <t>表十二、2026年一般公共预算支出表</t>
  </si>
  <si>
    <t>表十三、2026年一般公共预算本级支出表</t>
  </si>
  <si>
    <t>表十四、2026年一般公共预算基本支出经济分类预算表</t>
  </si>
  <si>
    <t>表十五、2026年一般公共预算本级基本支出表</t>
  </si>
  <si>
    <t>表十六、2026年一般公共预算税收返还和转移支付表</t>
  </si>
  <si>
    <t>表十七、2026年一般公共预算平衡表</t>
  </si>
  <si>
    <t>表十八、2026年一般公共预算平衡表（县级财力）</t>
  </si>
  <si>
    <t>表十九、2026年一般公共预算支出资金来源情况表</t>
  </si>
  <si>
    <t>八、2026年政府一般债务限额和余额情况表</t>
  </si>
  <si>
    <t>表二十、2026年政府一般债务限额和余额情况表</t>
  </si>
  <si>
    <t>九、2026年政府性基金预算报表</t>
  </si>
  <si>
    <t xml:space="preserve">表二十一、2026年政府性基金预算收入表 </t>
  </si>
  <si>
    <t>表二十二、2026年政府性基金预算支出表</t>
  </si>
  <si>
    <t>表二十三、2026年政府性基金预算收支表</t>
  </si>
  <si>
    <t>表二十四、2026年本级政府性基金支出表</t>
  </si>
  <si>
    <t>表二十五、2026年政府性基金预算收支明细表</t>
  </si>
  <si>
    <t>表二十六、2026年政府性基金预算转移支付表</t>
  </si>
  <si>
    <t>表二十七、2026年政府性基金预算支出资金来源情况表</t>
  </si>
  <si>
    <t>十、2026年政府专项债务限额和余额情况表</t>
  </si>
  <si>
    <t>表二十八、2026年政府专项债务限额和余额情况表</t>
  </si>
  <si>
    <t>十一、2026年社会保险基金预算报表</t>
  </si>
  <si>
    <t>表二十九、2026年社会保险金预算</t>
  </si>
  <si>
    <t>表三十、2026年社会保险金预算收入表</t>
  </si>
  <si>
    <t>表三十一、2026年社会保险金预算支出表</t>
  </si>
  <si>
    <t>十二、2026年国有资本经营预算报表</t>
  </si>
  <si>
    <t>表三十二、2026年国有资本经营预算收支总表</t>
  </si>
  <si>
    <t xml:space="preserve">表三十三、2026年国有资本经营预算收入表 </t>
  </si>
  <si>
    <t>表三十四、2026年国有资本经营预算支出表</t>
  </si>
  <si>
    <t>表三十五、2026年本级国有资本经营预算支出表</t>
  </si>
  <si>
    <t>十三、2026年“三公”经费预算执行情况表</t>
  </si>
  <si>
    <t>表三十六、2026年三公经费预算表</t>
  </si>
  <si>
    <r>
      <rPr>
        <b/>
        <sz val="16"/>
        <rFont val="黑体"/>
        <family val="3"/>
        <charset val="134"/>
      </rPr>
      <t>表一、</t>
    </r>
    <r>
      <rPr>
        <b/>
        <sz val="16"/>
        <rFont val="Times New Roman"/>
        <family val="1"/>
        <charset val="0"/>
      </rPr>
      <t>2025</t>
    </r>
    <r>
      <rPr>
        <b/>
        <sz val="16"/>
        <rFont val="黑体"/>
        <family val="3"/>
        <charset val="134"/>
      </rPr>
      <t>年一般公共财政预算收入调整及执行情况表</t>
    </r>
  </si>
  <si>
    <r>
      <rPr>
        <sz val="12"/>
        <rFont val="宋体"/>
        <charset val="134"/>
      </rPr>
      <t>单位：万元</t>
    </r>
  </si>
  <si>
    <r>
      <rPr>
        <b/>
        <sz val="11"/>
        <rFont val="宋体"/>
        <charset val="134"/>
      </rPr>
      <t>项目</t>
    </r>
  </si>
  <si>
    <r>
      <rPr>
        <b/>
        <sz val="11"/>
        <rFont val="宋体"/>
        <charset val="134"/>
      </rPr>
      <t>上年决算数</t>
    </r>
  </si>
  <si>
    <r>
      <t>2025</t>
    </r>
    <r>
      <rPr>
        <b/>
        <sz val="11"/>
        <rFont val="宋体"/>
        <charset val="134"/>
      </rPr>
      <t>年初预算数</t>
    </r>
  </si>
  <si>
    <r>
      <t>2025</t>
    </r>
    <r>
      <rPr>
        <b/>
        <sz val="11"/>
        <rFont val="宋体"/>
        <charset val="134"/>
      </rPr>
      <t>年</t>
    </r>
    <r>
      <rPr>
        <b/>
        <sz val="11"/>
        <rFont val="Times New Roman"/>
        <family val="1"/>
        <charset val="0"/>
      </rPr>
      <t xml:space="preserve">
</t>
    </r>
    <r>
      <rPr>
        <b/>
        <sz val="11"/>
        <rFont val="宋体"/>
        <charset val="134"/>
      </rPr>
      <t>预算调整数</t>
    </r>
  </si>
  <si>
    <r>
      <t>2025</t>
    </r>
    <r>
      <rPr>
        <b/>
        <sz val="11"/>
        <rFont val="宋体"/>
        <charset val="134"/>
      </rPr>
      <t>年</t>
    </r>
    <r>
      <rPr>
        <b/>
        <sz val="11"/>
        <rFont val="Times New Roman"/>
        <family val="1"/>
        <charset val="0"/>
      </rPr>
      <t xml:space="preserve">
</t>
    </r>
    <r>
      <rPr>
        <b/>
        <sz val="11"/>
        <rFont val="宋体"/>
        <charset val="134"/>
      </rPr>
      <t>预算执行数</t>
    </r>
  </si>
  <si>
    <r>
      <rPr>
        <b/>
        <sz val="11"/>
        <rFont val="宋体"/>
        <charset val="134"/>
      </rPr>
      <t>同比增长</t>
    </r>
    <r>
      <rPr>
        <b/>
        <sz val="11"/>
        <rFont val="Times New Roman"/>
        <family val="1"/>
        <charset val="0"/>
      </rPr>
      <t>%</t>
    </r>
  </si>
  <si>
    <r>
      <rPr>
        <b/>
        <sz val="11"/>
        <rFont val="宋体"/>
        <charset val="134"/>
      </rPr>
      <t>完成调整数的</t>
    </r>
    <r>
      <rPr>
        <b/>
        <sz val="11"/>
        <rFont val="Times New Roman"/>
        <family val="1"/>
        <charset val="0"/>
      </rPr>
      <t>%</t>
    </r>
  </si>
  <si>
    <r>
      <rPr>
        <b/>
        <sz val="11"/>
        <rFont val="宋体"/>
        <charset val="134"/>
      </rPr>
      <t>一、税收收入</t>
    </r>
  </si>
  <si>
    <r>
      <t xml:space="preserve">    </t>
    </r>
    <r>
      <rPr>
        <sz val="11"/>
        <rFont val="宋体"/>
        <charset val="134"/>
      </rPr>
      <t>增值税</t>
    </r>
  </si>
  <si>
    <r>
      <t xml:space="preserve">    </t>
    </r>
    <r>
      <rPr>
        <sz val="11"/>
        <rFont val="宋体"/>
        <charset val="134"/>
      </rPr>
      <t>企业所得税</t>
    </r>
  </si>
  <si>
    <r>
      <t xml:space="preserve">    </t>
    </r>
    <r>
      <rPr>
        <sz val="11"/>
        <rFont val="宋体"/>
        <charset val="134"/>
      </rPr>
      <t>个人所得税</t>
    </r>
  </si>
  <si>
    <r>
      <t xml:space="preserve">    </t>
    </r>
    <r>
      <rPr>
        <sz val="11"/>
        <rFont val="宋体"/>
        <charset val="134"/>
      </rPr>
      <t>资源税</t>
    </r>
  </si>
  <si>
    <r>
      <t xml:space="preserve">    </t>
    </r>
    <r>
      <rPr>
        <sz val="11"/>
        <rFont val="宋体"/>
        <charset val="134"/>
      </rPr>
      <t>城市维护建设税</t>
    </r>
  </si>
  <si>
    <r>
      <t xml:space="preserve">    </t>
    </r>
    <r>
      <rPr>
        <sz val="11"/>
        <rFont val="宋体"/>
        <charset val="134"/>
      </rPr>
      <t>房产税</t>
    </r>
  </si>
  <si>
    <r>
      <t xml:space="preserve">    </t>
    </r>
    <r>
      <rPr>
        <sz val="11"/>
        <rFont val="宋体"/>
        <charset val="134"/>
      </rPr>
      <t>印花税</t>
    </r>
  </si>
  <si>
    <r>
      <t xml:space="preserve">    </t>
    </r>
    <r>
      <rPr>
        <sz val="11"/>
        <rFont val="宋体"/>
        <charset val="134"/>
      </rPr>
      <t>城镇土地使用税</t>
    </r>
  </si>
  <si>
    <r>
      <t xml:space="preserve">    </t>
    </r>
    <r>
      <rPr>
        <sz val="11"/>
        <rFont val="宋体"/>
        <charset val="134"/>
      </rPr>
      <t>土地增值税</t>
    </r>
  </si>
  <si>
    <r>
      <t xml:space="preserve">    </t>
    </r>
    <r>
      <rPr>
        <sz val="11"/>
        <rFont val="宋体"/>
        <charset val="134"/>
      </rPr>
      <t>耕地占用税</t>
    </r>
  </si>
  <si>
    <r>
      <t xml:space="preserve">    </t>
    </r>
    <r>
      <rPr>
        <sz val="11"/>
        <rFont val="宋体"/>
        <charset val="134"/>
      </rPr>
      <t>契税</t>
    </r>
  </si>
  <si>
    <r>
      <t xml:space="preserve">    </t>
    </r>
    <r>
      <rPr>
        <sz val="11"/>
        <rFont val="宋体"/>
        <charset val="134"/>
      </rPr>
      <t>车船税</t>
    </r>
  </si>
  <si>
    <r>
      <t xml:space="preserve">    </t>
    </r>
    <r>
      <rPr>
        <sz val="11"/>
        <rFont val="宋体"/>
        <charset val="134"/>
      </rPr>
      <t>烟叶税</t>
    </r>
  </si>
  <si>
    <r>
      <t xml:space="preserve">    </t>
    </r>
    <r>
      <rPr>
        <sz val="11"/>
        <rFont val="宋体"/>
        <charset val="134"/>
      </rPr>
      <t>环境保护税</t>
    </r>
  </si>
  <si>
    <r>
      <t xml:space="preserve">    </t>
    </r>
    <r>
      <rPr>
        <sz val="11"/>
        <rFont val="宋体"/>
        <charset val="134"/>
      </rPr>
      <t>其他税收收入</t>
    </r>
  </si>
  <si>
    <r>
      <rPr>
        <b/>
        <sz val="11"/>
        <rFont val="宋体"/>
        <charset val="134"/>
      </rPr>
      <t>二、非税收入</t>
    </r>
  </si>
  <si>
    <r>
      <t xml:space="preserve">    </t>
    </r>
    <r>
      <rPr>
        <sz val="11"/>
        <rFont val="宋体"/>
        <charset val="134"/>
      </rPr>
      <t>专项收入</t>
    </r>
  </si>
  <si>
    <r>
      <t xml:space="preserve">    </t>
    </r>
    <r>
      <rPr>
        <sz val="11"/>
        <rFont val="宋体"/>
        <charset val="134"/>
      </rPr>
      <t>行政事业性收费收入</t>
    </r>
  </si>
  <si>
    <r>
      <t xml:space="preserve">    </t>
    </r>
    <r>
      <rPr>
        <sz val="11"/>
        <rFont val="宋体"/>
        <charset val="134"/>
      </rPr>
      <t>罚没收入</t>
    </r>
  </si>
  <si>
    <r>
      <t xml:space="preserve">    </t>
    </r>
    <r>
      <rPr>
        <sz val="11"/>
        <rFont val="宋体"/>
        <charset val="134"/>
      </rPr>
      <t>国有资本经营收入</t>
    </r>
  </si>
  <si>
    <r>
      <t xml:space="preserve">     </t>
    </r>
    <r>
      <rPr>
        <sz val="9"/>
        <rFont val="宋体"/>
        <charset val="134"/>
      </rPr>
      <t>国有资源（资产）有偿使用收入</t>
    </r>
  </si>
  <si>
    <r>
      <t xml:space="preserve">    </t>
    </r>
    <r>
      <rPr>
        <sz val="11"/>
        <rFont val="宋体"/>
        <charset val="134"/>
      </rPr>
      <t>政府住房基金收入</t>
    </r>
  </si>
  <si>
    <r>
      <t xml:space="preserve">    </t>
    </r>
    <r>
      <rPr>
        <sz val="11"/>
        <rFont val="宋体"/>
        <charset val="134"/>
      </rPr>
      <t>其他收入</t>
    </r>
  </si>
  <si>
    <r>
      <rPr>
        <b/>
        <sz val="11"/>
        <rFont val="宋体"/>
        <charset val="134"/>
      </rPr>
      <t>收入合计</t>
    </r>
  </si>
  <si>
    <r>
      <rPr>
        <b/>
        <sz val="16"/>
        <rFont val="黑体"/>
        <family val="3"/>
        <charset val="134"/>
      </rPr>
      <t>表二、</t>
    </r>
    <r>
      <rPr>
        <b/>
        <sz val="16"/>
        <rFont val="Times New Roman"/>
        <family val="1"/>
        <charset val="0"/>
      </rPr>
      <t>2025</t>
    </r>
    <r>
      <rPr>
        <b/>
        <sz val="16"/>
        <rFont val="黑体"/>
        <family val="3"/>
        <charset val="134"/>
      </rPr>
      <t>年一般公共财政预算收支平衡表</t>
    </r>
  </si>
  <si>
    <r>
      <rPr>
        <sz val="10"/>
        <rFont val="宋体"/>
        <charset val="134"/>
      </rPr>
      <t>单位：万元</t>
    </r>
  </si>
  <si>
    <r>
      <rPr>
        <b/>
        <sz val="14"/>
        <rFont val="宋体"/>
        <charset val="134"/>
      </rPr>
      <t>收入</t>
    </r>
  </si>
  <si>
    <r>
      <rPr>
        <sz val="9"/>
        <color indexed="10"/>
        <rFont val="宋体"/>
        <charset val="134"/>
      </rPr>
      <t>隐藏</t>
    </r>
  </si>
  <si>
    <r>
      <rPr>
        <b/>
        <sz val="14"/>
        <rFont val="宋体"/>
        <charset val="134"/>
      </rPr>
      <t>支出</t>
    </r>
  </si>
  <si>
    <r>
      <rPr>
        <b/>
        <sz val="10"/>
        <rFont val="宋体"/>
        <charset val="134"/>
      </rPr>
      <t>项目</t>
    </r>
  </si>
  <si>
    <r>
      <rPr>
        <b/>
        <sz val="10"/>
        <rFont val="宋体"/>
        <charset val="134"/>
      </rPr>
      <t>上年决算数</t>
    </r>
  </si>
  <si>
    <r>
      <rPr>
        <b/>
        <sz val="10"/>
        <rFont val="宋体"/>
        <charset val="134"/>
      </rPr>
      <t>预算数</t>
    </r>
  </si>
  <si>
    <r>
      <rPr>
        <b/>
        <sz val="10"/>
        <rFont val="宋体"/>
        <charset val="134"/>
      </rPr>
      <t>预算调整数</t>
    </r>
  </si>
  <si>
    <r>
      <rPr>
        <b/>
        <sz val="10"/>
        <rFont val="宋体"/>
        <charset val="134"/>
      </rPr>
      <t>与年初数对比</t>
    </r>
  </si>
  <si>
    <r>
      <rPr>
        <b/>
        <sz val="10"/>
        <rFont val="宋体"/>
        <charset val="134"/>
      </rPr>
      <t>预算执行数</t>
    </r>
  </si>
  <si>
    <r>
      <rPr>
        <b/>
        <sz val="10"/>
        <rFont val="宋体"/>
        <charset val="134"/>
      </rPr>
      <t>比上年增减金额</t>
    </r>
  </si>
  <si>
    <r>
      <rPr>
        <b/>
        <sz val="10"/>
        <rFont val="宋体"/>
        <charset val="134"/>
      </rPr>
      <t>比上年增减</t>
    </r>
    <r>
      <rPr>
        <b/>
        <sz val="10"/>
        <rFont val="Times New Roman"/>
        <family val="1"/>
        <charset val="0"/>
      </rPr>
      <t>%</t>
    </r>
  </si>
  <si>
    <r>
      <rPr>
        <b/>
        <sz val="9"/>
        <rFont val="宋体"/>
        <charset val="134"/>
      </rPr>
      <t>本级收入合计</t>
    </r>
  </si>
  <si>
    <r>
      <rPr>
        <b/>
        <sz val="9"/>
        <rFont val="宋体"/>
        <charset val="134"/>
      </rPr>
      <t>本级支出合计</t>
    </r>
  </si>
  <si>
    <r>
      <rPr>
        <b/>
        <sz val="9"/>
        <rFont val="宋体"/>
        <charset val="134"/>
      </rPr>
      <t>转移性收入</t>
    </r>
  </si>
  <si>
    <r>
      <rPr>
        <b/>
        <sz val="9"/>
        <rFont val="宋体"/>
        <charset val="134"/>
      </rPr>
      <t>转移性支出</t>
    </r>
  </si>
  <si>
    <r>
      <t xml:space="preserve">  </t>
    </r>
    <r>
      <rPr>
        <b/>
        <sz val="9"/>
        <rFont val="宋体"/>
        <charset val="134"/>
      </rPr>
      <t>上级补助收入</t>
    </r>
  </si>
  <si>
    <r>
      <t xml:space="preserve">  </t>
    </r>
    <r>
      <rPr>
        <b/>
        <sz val="10"/>
        <rFont val="宋体"/>
        <charset val="134"/>
      </rPr>
      <t>返还性支出</t>
    </r>
  </si>
  <si>
    <r>
      <t xml:space="preserve">    </t>
    </r>
    <r>
      <rPr>
        <b/>
        <sz val="9"/>
        <rFont val="宋体"/>
        <charset val="134"/>
      </rPr>
      <t>返还性收入</t>
    </r>
  </si>
  <si>
    <r>
      <t xml:space="preserve">    </t>
    </r>
    <r>
      <rPr>
        <sz val="10"/>
        <rFont val="宋体"/>
        <charset val="134"/>
      </rPr>
      <t>所得税基数返还支出</t>
    </r>
  </si>
  <si>
    <r>
      <t xml:space="preserve">      </t>
    </r>
    <r>
      <rPr>
        <sz val="9"/>
        <rFont val="宋体"/>
        <charset val="134"/>
      </rPr>
      <t>所得税基数返还收入</t>
    </r>
    <r>
      <rPr>
        <sz val="9"/>
        <rFont val="Times New Roman"/>
        <family val="1"/>
        <charset val="0"/>
      </rPr>
      <t xml:space="preserve"> </t>
    </r>
  </si>
  <si>
    <r>
      <t xml:space="preserve">    </t>
    </r>
    <r>
      <rPr>
        <sz val="10"/>
        <rFont val="宋体"/>
        <charset val="134"/>
      </rPr>
      <t>成品油税费改革税收返还支出</t>
    </r>
  </si>
  <si>
    <r>
      <t xml:space="preserve">      </t>
    </r>
    <r>
      <rPr>
        <sz val="9"/>
        <rFont val="宋体"/>
        <charset val="134"/>
      </rPr>
      <t>成品油税费改革税收返还收入</t>
    </r>
  </si>
  <si>
    <r>
      <t xml:space="preserve">    </t>
    </r>
    <r>
      <rPr>
        <sz val="10"/>
        <rFont val="宋体"/>
        <charset val="134"/>
      </rPr>
      <t>增值税税收返还支出</t>
    </r>
  </si>
  <si>
    <r>
      <t xml:space="preserve">      </t>
    </r>
    <r>
      <rPr>
        <sz val="9"/>
        <rFont val="宋体"/>
        <charset val="134"/>
      </rPr>
      <t>增值税税收返还收入</t>
    </r>
  </si>
  <si>
    <r>
      <t xml:space="preserve">    </t>
    </r>
    <r>
      <rPr>
        <sz val="10"/>
        <rFont val="宋体"/>
        <charset val="134"/>
      </rPr>
      <t>消费税税收返还支出</t>
    </r>
  </si>
  <si>
    <r>
      <t xml:space="preserve">      </t>
    </r>
    <r>
      <rPr>
        <sz val="9"/>
        <rFont val="宋体"/>
        <charset val="134"/>
      </rPr>
      <t>增值税五五分享税收返还收入</t>
    </r>
  </si>
  <si>
    <r>
      <t xml:space="preserve">    </t>
    </r>
    <r>
      <rPr>
        <sz val="10"/>
        <rFont val="宋体"/>
        <charset val="134"/>
      </rPr>
      <t>增值税</t>
    </r>
    <r>
      <rPr>
        <sz val="10"/>
        <rFont val="Times New Roman"/>
        <family val="1"/>
        <charset val="0"/>
      </rPr>
      <t>“</t>
    </r>
    <r>
      <rPr>
        <sz val="10"/>
        <rFont val="宋体"/>
        <charset val="134"/>
      </rPr>
      <t>五五分享</t>
    </r>
    <r>
      <rPr>
        <sz val="10"/>
        <rFont val="Times New Roman"/>
        <family val="1"/>
        <charset val="0"/>
      </rPr>
      <t>”</t>
    </r>
    <r>
      <rPr>
        <sz val="10"/>
        <rFont val="宋体"/>
        <charset val="134"/>
      </rPr>
      <t>税收返还支出</t>
    </r>
  </si>
  <si>
    <r>
      <t xml:space="preserve">      </t>
    </r>
    <r>
      <rPr>
        <sz val="9"/>
        <rFont val="宋体"/>
        <charset val="134"/>
      </rPr>
      <t>其他税收返还收入</t>
    </r>
  </si>
  <si>
    <r>
      <t xml:space="preserve">    </t>
    </r>
    <r>
      <rPr>
        <sz val="10"/>
        <rFont val="宋体"/>
        <charset val="134"/>
      </rPr>
      <t>其他返还性支出</t>
    </r>
  </si>
  <si>
    <r>
      <t xml:space="preserve">    </t>
    </r>
    <r>
      <rPr>
        <b/>
        <sz val="9"/>
        <rFont val="宋体"/>
        <charset val="134"/>
      </rPr>
      <t>一般性转移支付收入</t>
    </r>
  </si>
  <si>
    <r>
      <t xml:space="preserve">  </t>
    </r>
    <r>
      <rPr>
        <b/>
        <sz val="10"/>
        <rFont val="宋体"/>
        <charset val="134"/>
      </rPr>
      <t>一般性转移支付支出</t>
    </r>
  </si>
  <si>
    <r>
      <t xml:space="preserve">    </t>
    </r>
    <r>
      <rPr>
        <sz val="10"/>
        <rFont val="宋体"/>
        <charset val="134"/>
      </rPr>
      <t>体制补助收入</t>
    </r>
  </si>
  <si>
    <r>
      <t xml:space="preserve">    </t>
    </r>
    <r>
      <rPr>
        <sz val="10"/>
        <rFont val="宋体"/>
        <charset val="134"/>
      </rPr>
      <t>体制补助支出</t>
    </r>
  </si>
  <si>
    <r>
      <t xml:space="preserve">    </t>
    </r>
    <r>
      <rPr>
        <sz val="10"/>
        <rFont val="宋体"/>
        <charset val="134"/>
      </rPr>
      <t>均衡性转移支付收入</t>
    </r>
  </si>
  <si>
    <r>
      <t xml:space="preserve">    </t>
    </r>
    <r>
      <rPr>
        <sz val="10"/>
        <rFont val="宋体"/>
        <charset val="134"/>
      </rPr>
      <t>均衡性转移支付支出</t>
    </r>
  </si>
  <si>
    <r>
      <t xml:space="preserve">    </t>
    </r>
    <r>
      <rPr>
        <sz val="10"/>
        <rFont val="宋体"/>
        <charset val="134"/>
      </rPr>
      <t>县级基本财力保障机制奖补资金收入</t>
    </r>
  </si>
  <si>
    <r>
      <t xml:space="preserve">    </t>
    </r>
    <r>
      <rPr>
        <sz val="10"/>
        <rFont val="宋体"/>
        <charset val="134"/>
      </rPr>
      <t>县级基本财力保障机制奖补资金支出</t>
    </r>
  </si>
  <si>
    <r>
      <t xml:space="preserve">    </t>
    </r>
    <r>
      <rPr>
        <sz val="10"/>
        <rFont val="宋体"/>
        <charset val="134"/>
      </rPr>
      <t>结算补助收入</t>
    </r>
  </si>
  <si>
    <r>
      <t xml:space="preserve">    </t>
    </r>
    <r>
      <rPr>
        <sz val="10"/>
        <rFont val="宋体"/>
        <charset val="134"/>
      </rPr>
      <t>结算补助支出</t>
    </r>
  </si>
  <si>
    <r>
      <t xml:space="preserve">    </t>
    </r>
    <r>
      <rPr>
        <sz val="10"/>
        <rFont val="宋体"/>
        <charset val="134"/>
      </rPr>
      <t>资源枯竭型城市转移支付补助收入</t>
    </r>
  </si>
  <si>
    <r>
      <t xml:space="preserve">    </t>
    </r>
    <r>
      <rPr>
        <sz val="10"/>
        <rFont val="宋体"/>
        <charset val="134"/>
      </rPr>
      <t>资源枯竭型城市转移支付补助支出</t>
    </r>
  </si>
  <si>
    <r>
      <t xml:space="preserve">    </t>
    </r>
    <r>
      <rPr>
        <sz val="10"/>
        <rFont val="宋体"/>
        <charset val="134"/>
      </rPr>
      <t>企业事业单位划转补助收入</t>
    </r>
  </si>
  <si>
    <r>
      <t xml:space="preserve">    </t>
    </r>
    <r>
      <rPr>
        <sz val="10"/>
        <rFont val="宋体"/>
        <charset val="134"/>
      </rPr>
      <t>企业事业单位划转补助支出</t>
    </r>
  </si>
  <si>
    <r>
      <t xml:space="preserve">    </t>
    </r>
    <r>
      <rPr>
        <sz val="10"/>
        <rFont val="宋体"/>
        <charset val="134"/>
      </rPr>
      <t>产粮</t>
    </r>
    <r>
      <rPr>
        <sz val="10"/>
        <rFont val="Times New Roman"/>
        <family val="1"/>
        <charset val="0"/>
      </rPr>
      <t>(</t>
    </r>
    <r>
      <rPr>
        <sz val="10"/>
        <rFont val="宋体"/>
        <charset val="134"/>
      </rPr>
      <t>油</t>
    </r>
    <r>
      <rPr>
        <sz val="10"/>
        <rFont val="Times New Roman"/>
        <family val="1"/>
        <charset val="0"/>
      </rPr>
      <t>)</t>
    </r>
    <r>
      <rPr>
        <sz val="10"/>
        <rFont val="宋体"/>
        <charset val="134"/>
      </rPr>
      <t>大县奖励资金收入</t>
    </r>
  </si>
  <si>
    <r>
      <t xml:space="preserve">    </t>
    </r>
    <r>
      <rPr>
        <sz val="10"/>
        <rFont val="宋体"/>
        <charset val="134"/>
      </rPr>
      <t>产粮</t>
    </r>
    <r>
      <rPr>
        <sz val="10"/>
        <rFont val="Times New Roman"/>
        <family val="1"/>
        <charset val="0"/>
      </rPr>
      <t>(</t>
    </r>
    <r>
      <rPr>
        <sz val="10"/>
        <rFont val="宋体"/>
        <charset val="134"/>
      </rPr>
      <t>油</t>
    </r>
    <r>
      <rPr>
        <sz val="10"/>
        <rFont val="Times New Roman"/>
        <family val="1"/>
        <charset val="0"/>
      </rPr>
      <t>)</t>
    </r>
    <r>
      <rPr>
        <sz val="10"/>
        <rFont val="宋体"/>
        <charset val="134"/>
      </rPr>
      <t>大县奖励资金支出</t>
    </r>
  </si>
  <si>
    <r>
      <t xml:space="preserve">    </t>
    </r>
    <r>
      <rPr>
        <sz val="10"/>
        <rFont val="宋体"/>
        <charset val="134"/>
      </rPr>
      <t>重点生态功能区转移支付收入</t>
    </r>
  </si>
  <si>
    <r>
      <t xml:space="preserve">    </t>
    </r>
    <r>
      <rPr>
        <sz val="10"/>
        <rFont val="宋体"/>
        <charset val="134"/>
      </rPr>
      <t>重点生态功能区转移支付支出</t>
    </r>
  </si>
  <si>
    <r>
      <t xml:space="preserve">    </t>
    </r>
    <r>
      <rPr>
        <sz val="10"/>
        <rFont val="宋体"/>
        <charset val="134"/>
      </rPr>
      <t>固定数额补助收入</t>
    </r>
  </si>
  <si>
    <r>
      <t xml:space="preserve">    </t>
    </r>
    <r>
      <rPr>
        <sz val="10"/>
        <rFont val="宋体"/>
        <charset val="134"/>
      </rPr>
      <t>固定数额补助支出</t>
    </r>
  </si>
  <si>
    <r>
      <t xml:space="preserve">    </t>
    </r>
    <r>
      <rPr>
        <sz val="10"/>
        <rFont val="宋体"/>
        <charset val="134"/>
      </rPr>
      <t>革命老区转移支付收入</t>
    </r>
  </si>
  <si>
    <r>
      <t xml:space="preserve">    </t>
    </r>
    <r>
      <rPr>
        <sz val="10"/>
        <rFont val="宋体"/>
        <charset val="134"/>
      </rPr>
      <t>革命老区转移支付支出</t>
    </r>
  </si>
  <si>
    <r>
      <t xml:space="preserve">    </t>
    </r>
    <r>
      <rPr>
        <sz val="10"/>
        <rFont val="宋体"/>
        <charset val="134"/>
      </rPr>
      <t>民族地区转移支付收入</t>
    </r>
  </si>
  <si>
    <r>
      <t xml:space="preserve">    </t>
    </r>
    <r>
      <rPr>
        <sz val="10"/>
        <rFont val="宋体"/>
        <charset val="134"/>
      </rPr>
      <t>民族地区转移支付支出</t>
    </r>
  </si>
  <si>
    <r>
      <t xml:space="preserve">    </t>
    </r>
    <r>
      <rPr>
        <sz val="10"/>
        <rFont val="宋体"/>
        <charset val="134"/>
      </rPr>
      <t>边境地区转移支付收入</t>
    </r>
  </si>
  <si>
    <r>
      <t xml:space="preserve">    </t>
    </r>
    <r>
      <rPr>
        <sz val="10"/>
        <rFont val="宋体"/>
        <charset val="134"/>
      </rPr>
      <t>边境地区转移支付支出</t>
    </r>
  </si>
  <si>
    <r>
      <t xml:space="preserve">    </t>
    </r>
    <r>
      <rPr>
        <sz val="10"/>
        <rFont val="宋体"/>
        <charset val="134"/>
      </rPr>
      <t>巩固脱贫攻坚成果衔接乡村振兴转移支付收入</t>
    </r>
  </si>
  <si>
    <r>
      <t xml:space="preserve">    </t>
    </r>
    <r>
      <rPr>
        <sz val="10"/>
        <rFont val="宋体"/>
        <charset val="134"/>
      </rPr>
      <t>巩固脱贫攻坚成果衔接乡村振兴转移支付支出</t>
    </r>
  </si>
  <si>
    <r>
      <t xml:space="preserve">    </t>
    </r>
    <r>
      <rPr>
        <sz val="10"/>
        <rFont val="宋体"/>
        <charset val="134"/>
      </rPr>
      <t>一般公共服务共同财政事权转移支付收入</t>
    </r>
    <r>
      <rPr>
        <sz val="10"/>
        <rFont val="Times New Roman"/>
        <family val="1"/>
        <charset val="0"/>
      </rPr>
      <t xml:space="preserve">  </t>
    </r>
  </si>
  <si>
    <r>
      <t xml:space="preserve">    </t>
    </r>
    <r>
      <rPr>
        <sz val="10"/>
        <rFont val="宋体"/>
        <charset val="134"/>
      </rPr>
      <t>一般公共服务共同财政事权转移支付支出</t>
    </r>
    <r>
      <rPr>
        <sz val="10"/>
        <rFont val="Times New Roman"/>
        <family val="1"/>
        <charset val="0"/>
      </rPr>
      <t xml:space="preserve">  </t>
    </r>
  </si>
  <si>
    <r>
      <t xml:space="preserve">    </t>
    </r>
    <r>
      <rPr>
        <sz val="10"/>
        <rFont val="宋体"/>
        <charset val="134"/>
      </rPr>
      <t>外交共同财政事权转移支付收入</t>
    </r>
    <r>
      <rPr>
        <sz val="10"/>
        <rFont val="Times New Roman"/>
        <family val="1"/>
        <charset val="0"/>
      </rPr>
      <t xml:space="preserve">  </t>
    </r>
  </si>
  <si>
    <r>
      <t xml:space="preserve">    </t>
    </r>
    <r>
      <rPr>
        <sz val="10"/>
        <rFont val="宋体"/>
        <charset val="134"/>
      </rPr>
      <t>外交共同财政事权转移支付支出</t>
    </r>
    <r>
      <rPr>
        <sz val="10"/>
        <rFont val="Times New Roman"/>
        <family val="1"/>
        <charset val="0"/>
      </rPr>
      <t xml:space="preserve"> </t>
    </r>
  </si>
  <si>
    <r>
      <t xml:space="preserve">    </t>
    </r>
    <r>
      <rPr>
        <sz val="10"/>
        <rFont val="宋体"/>
        <charset val="134"/>
      </rPr>
      <t>国防共同财政事权转移支付收入</t>
    </r>
    <r>
      <rPr>
        <sz val="10"/>
        <rFont val="Times New Roman"/>
        <family val="1"/>
        <charset val="0"/>
      </rPr>
      <t xml:space="preserve">  </t>
    </r>
  </si>
  <si>
    <r>
      <t xml:space="preserve">    </t>
    </r>
    <r>
      <rPr>
        <sz val="10"/>
        <rFont val="宋体"/>
        <charset val="134"/>
      </rPr>
      <t>国防共同财政事权转移支付支出</t>
    </r>
    <r>
      <rPr>
        <sz val="10"/>
        <rFont val="Times New Roman"/>
        <family val="1"/>
        <charset val="0"/>
      </rPr>
      <t xml:space="preserve"> </t>
    </r>
  </si>
  <si>
    <r>
      <t xml:space="preserve">    </t>
    </r>
    <r>
      <rPr>
        <sz val="10"/>
        <rFont val="宋体"/>
        <charset val="134"/>
      </rPr>
      <t>公共安全共同财政事权转移支付收入</t>
    </r>
    <r>
      <rPr>
        <sz val="10"/>
        <rFont val="Times New Roman"/>
        <family val="1"/>
        <charset val="0"/>
      </rPr>
      <t xml:space="preserve">  </t>
    </r>
  </si>
  <si>
    <r>
      <t xml:space="preserve">    </t>
    </r>
    <r>
      <rPr>
        <sz val="10"/>
        <rFont val="宋体"/>
        <charset val="134"/>
      </rPr>
      <t>公共安全共同财政事权转移支付支出</t>
    </r>
    <r>
      <rPr>
        <sz val="10"/>
        <rFont val="Times New Roman"/>
        <family val="1"/>
        <charset val="0"/>
      </rPr>
      <t xml:space="preserve"> </t>
    </r>
  </si>
  <si>
    <r>
      <t xml:space="preserve">    </t>
    </r>
    <r>
      <rPr>
        <sz val="10"/>
        <rFont val="宋体"/>
        <charset val="134"/>
      </rPr>
      <t>教育共同财政事权转移支付收入</t>
    </r>
    <r>
      <rPr>
        <sz val="10"/>
        <rFont val="Times New Roman"/>
        <family val="1"/>
        <charset val="0"/>
      </rPr>
      <t xml:space="preserve">  </t>
    </r>
  </si>
  <si>
    <r>
      <t xml:space="preserve">    </t>
    </r>
    <r>
      <rPr>
        <sz val="10"/>
        <rFont val="宋体"/>
        <charset val="134"/>
      </rPr>
      <t>教育共同财政事权转移支付支出</t>
    </r>
    <r>
      <rPr>
        <sz val="10"/>
        <rFont val="Times New Roman"/>
        <family val="1"/>
        <charset val="0"/>
      </rPr>
      <t xml:space="preserve"> </t>
    </r>
  </si>
  <si>
    <r>
      <t xml:space="preserve">    </t>
    </r>
    <r>
      <rPr>
        <sz val="10"/>
        <rFont val="宋体"/>
        <charset val="134"/>
      </rPr>
      <t>科学技术共同财政事权转移支付收入</t>
    </r>
    <r>
      <rPr>
        <sz val="10"/>
        <rFont val="Times New Roman"/>
        <family val="1"/>
        <charset val="0"/>
      </rPr>
      <t xml:space="preserve">  </t>
    </r>
  </si>
  <si>
    <r>
      <t xml:space="preserve">    </t>
    </r>
    <r>
      <rPr>
        <sz val="10"/>
        <rFont val="宋体"/>
        <charset val="134"/>
      </rPr>
      <t>科学技术共同财政事权转移支付支出</t>
    </r>
    <r>
      <rPr>
        <sz val="10"/>
        <rFont val="Times New Roman"/>
        <family val="1"/>
        <charset val="0"/>
      </rPr>
      <t xml:space="preserve">  </t>
    </r>
  </si>
  <si>
    <r>
      <t xml:space="preserve">    </t>
    </r>
    <r>
      <rPr>
        <sz val="10"/>
        <rFont val="宋体"/>
        <charset val="134"/>
      </rPr>
      <t>文化旅游体育与传媒共同财政事权转移支付收入</t>
    </r>
    <r>
      <rPr>
        <sz val="10"/>
        <rFont val="Times New Roman"/>
        <family val="1"/>
        <charset val="0"/>
      </rPr>
      <t xml:space="preserve">  </t>
    </r>
  </si>
  <si>
    <r>
      <t xml:space="preserve">    </t>
    </r>
    <r>
      <rPr>
        <sz val="10"/>
        <rFont val="宋体"/>
        <charset val="134"/>
      </rPr>
      <t>文化旅游体育与传媒共同财政事权转移支付支出</t>
    </r>
    <r>
      <rPr>
        <sz val="10"/>
        <rFont val="Times New Roman"/>
        <family val="1"/>
        <charset val="0"/>
      </rPr>
      <t xml:space="preserve">  </t>
    </r>
  </si>
  <si>
    <r>
      <t xml:space="preserve">    </t>
    </r>
    <r>
      <rPr>
        <sz val="10"/>
        <rFont val="宋体"/>
        <charset val="134"/>
      </rPr>
      <t>社会保障和就业共同财政事权转移支付收入</t>
    </r>
    <r>
      <rPr>
        <sz val="10"/>
        <rFont val="Times New Roman"/>
        <family val="1"/>
        <charset val="0"/>
      </rPr>
      <t xml:space="preserve">  </t>
    </r>
  </si>
  <si>
    <r>
      <t xml:space="preserve">    </t>
    </r>
    <r>
      <rPr>
        <sz val="10"/>
        <rFont val="宋体"/>
        <charset val="134"/>
      </rPr>
      <t>社会保障和就业共同财政事权转移支付支出</t>
    </r>
    <r>
      <rPr>
        <sz val="10"/>
        <rFont val="Times New Roman"/>
        <family val="1"/>
        <charset val="0"/>
      </rPr>
      <t xml:space="preserve"> </t>
    </r>
  </si>
  <si>
    <r>
      <t xml:space="preserve">    </t>
    </r>
    <r>
      <rPr>
        <sz val="10"/>
        <rFont val="宋体"/>
        <charset val="134"/>
      </rPr>
      <t>卫生健康共同财政事权转移支付收入</t>
    </r>
    <r>
      <rPr>
        <sz val="10"/>
        <rFont val="Times New Roman"/>
        <family val="1"/>
        <charset val="0"/>
      </rPr>
      <t xml:space="preserve">  </t>
    </r>
  </si>
  <si>
    <r>
      <t xml:space="preserve">    </t>
    </r>
    <r>
      <rPr>
        <sz val="10"/>
        <rFont val="宋体"/>
        <charset val="134"/>
      </rPr>
      <t>卫生健康共同财政事权转移支付支出</t>
    </r>
    <r>
      <rPr>
        <sz val="10"/>
        <rFont val="Times New Roman"/>
        <family val="1"/>
        <charset val="0"/>
      </rPr>
      <t xml:space="preserve">  </t>
    </r>
  </si>
  <si>
    <r>
      <t xml:space="preserve">    </t>
    </r>
    <r>
      <rPr>
        <sz val="10"/>
        <rFont val="宋体"/>
        <charset val="134"/>
      </rPr>
      <t>节能环保共同财政事权转移支付收入</t>
    </r>
    <r>
      <rPr>
        <sz val="10"/>
        <rFont val="Times New Roman"/>
        <family val="1"/>
        <charset val="0"/>
      </rPr>
      <t xml:space="preserve">  </t>
    </r>
  </si>
  <si>
    <r>
      <t xml:space="preserve">    </t>
    </r>
    <r>
      <rPr>
        <sz val="10"/>
        <rFont val="宋体"/>
        <charset val="134"/>
      </rPr>
      <t>节能环保共同财政事权转移支付支出</t>
    </r>
  </si>
  <si>
    <r>
      <t xml:space="preserve">    </t>
    </r>
    <r>
      <rPr>
        <sz val="10"/>
        <rFont val="宋体"/>
        <charset val="134"/>
      </rPr>
      <t>城乡社区共同财政事权转移支付收入</t>
    </r>
    <r>
      <rPr>
        <sz val="10"/>
        <rFont val="Times New Roman"/>
        <family val="1"/>
        <charset val="0"/>
      </rPr>
      <t xml:space="preserve">  </t>
    </r>
  </si>
  <si>
    <r>
      <t xml:space="preserve">    </t>
    </r>
    <r>
      <rPr>
        <sz val="10"/>
        <rFont val="宋体"/>
        <charset val="134"/>
      </rPr>
      <t>城乡社区共同财政事权转移支付支出</t>
    </r>
  </si>
  <si>
    <r>
      <t xml:space="preserve">    </t>
    </r>
    <r>
      <rPr>
        <sz val="10"/>
        <rFont val="宋体"/>
        <charset val="134"/>
      </rPr>
      <t>农林水共同财政事权转移支付收入</t>
    </r>
    <r>
      <rPr>
        <sz val="10"/>
        <rFont val="Times New Roman"/>
        <family val="1"/>
        <charset val="0"/>
      </rPr>
      <t xml:space="preserve">  </t>
    </r>
  </si>
  <si>
    <r>
      <t xml:space="preserve">    </t>
    </r>
    <r>
      <rPr>
        <sz val="10"/>
        <rFont val="宋体"/>
        <charset val="134"/>
      </rPr>
      <t>农林水共同财政事权转移支付支出</t>
    </r>
  </si>
  <si>
    <r>
      <t xml:space="preserve">    </t>
    </r>
    <r>
      <rPr>
        <sz val="10"/>
        <rFont val="宋体"/>
        <charset val="134"/>
      </rPr>
      <t>交通运输共同财政事权转移支付收入</t>
    </r>
    <r>
      <rPr>
        <sz val="10"/>
        <rFont val="Times New Roman"/>
        <family val="1"/>
        <charset val="0"/>
      </rPr>
      <t xml:space="preserve">  </t>
    </r>
  </si>
  <si>
    <r>
      <t xml:space="preserve">    </t>
    </r>
    <r>
      <rPr>
        <sz val="10"/>
        <rFont val="宋体"/>
        <charset val="134"/>
      </rPr>
      <t>交通运输共同财政事权转移支付支出</t>
    </r>
    <r>
      <rPr>
        <sz val="10"/>
        <rFont val="Times New Roman"/>
        <family val="1"/>
        <charset val="0"/>
      </rPr>
      <t xml:space="preserve"> </t>
    </r>
  </si>
  <si>
    <r>
      <t xml:space="preserve">    </t>
    </r>
    <r>
      <rPr>
        <sz val="10"/>
        <rFont val="宋体"/>
        <charset val="134"/>
      </rPr>
      <t>资源勘探信息等共同财政事权转移支付收入</t>
    </r>
    <r>
      <rPr>
        <sz val="10"/>
        <rFont val="Times New Roman"/>
        <family val="1"/>
        <charset val="0"/>
      </rPr>
      <t xml:space="preserve">  </t>
    </r>
  </si>
  <si>
    <r>
      <t xml:space="preserve">    </t>
    </r>
    <r>
      <rPr>
        <sz val="10"/>
        <rFont val="宋体"/>
        <charset val="134"/>
      </rPr>
      <t>资源勘探信息等共同财政事权转移支付支出</t>
    </r>
    <r>
      <rPr>
        <sz val="10"/>
        <rFont val="Times New Roman"/>
        <family val="1"/>
        <charset val="0"/>
      </rPr>
      <t xml:space="preserve"> </t>
    </r>
  </si>
  <si>
    <r>
      <t xml:space="preserve">    </t>
    </r>
    <r>
      <rPr>
        <sz val="10"/>
        <rFont val="宋体"/>
        <charset val="134"/>
      </rPr>
      <t>商业服务业等共同财政事权转移支付收入</t>
    </r>
    <r>
      <rPr>
        <sz val="10"/>
        <rFont val="Times New Roman"/>
        <family val="1"/>
        <charset val="0"/>
      </rPr>
      <t xml:space="preserve">  </t>
    </r>
  </si>
  <si>
    <r>
      <t xml:space="preserve">    </t>
    </r>
    <r>
      <rPr>
        <sz val="10"/>
        <rFont val="宋体"/>
        <charset val="134"/>
      </rPr>
      <t>商业服务业等共同财政事权转移支付支出</t>
    </r>
  </si>
  <si>
    <r>
      <t xml:space="preserve">    </t>
    </r>
    <r>
      <rPr>
        <sz val="10"/>
        <rFont val="宋体"/>
        <charset val="134"/>
      </rPr>
      <t>金融共同财政事权转移支付收入</t>
    </r>
    <r>
      <rPr>
        <sz val="10"/>
        <rFont val="Times New Roman"/>
        <family val="1"/>
        <charset val="0"/>
      </rPr>
      <t xml:space="preserve">  </t>
    </r>
  </si>
  <si>
    <r>
      <t xml:space="preserve">    </t>
    </r>
    <r>
      <rPr>
        <sz val="10"/>
        <rFont val="宋体"/>
        <charset val="134"/>
      </rPr>
      <t>金融共同财政事权转移支付支出</t>
    </r>
    <r>
      <rPr>
        <sz val="10"/>
        <rFont val="Times New Roman"/>
        <family val="1"/>
        <charset val="0"/>
      </rPr>
      <t xml:space="preserve"> </t>
    </r>
  </si>
  <si>
    <r>
      <t xml:space="preserve">    </t>
    </r>
    <r>
      <rPr>
        <sz val="10"/>
        <rFont val="宋体"/>
        <charset val="134"/>
      </rPr>
      <t>自然资源海洋气象等共同财政事权转移支付收入</t>
    </r>
    <r>
      <rPr>
        <sz val="10"/>
        <rFont val="Times New Roman"/>
        <family val="1"/>
        <charset val="0"/>
      </rPr>
      <t xml:space="preserve">  </t>
    </r>
  </si>
  <si>
    <r>
      <t xml:space="preserve">    </t>
    </r>
    <r>
      <rPr>
        <sz val="10"/>
        <rFont val="宋体"/>
        <charset val="134"/>
      </rPr>
      <t>自然资源海洋气象等共同财政事权转移支付支出</t>
    </r>
    <r>
      <rPr>
        <sz val="10"/>
        <rFont val="Times New Roman"/>
        <family val="1"/>
        <charset val="0"/>
      </rPr>
      <t xml:space="preserve">  </t>
    </r>
  </si>
  <si>
    <r>
      <t xml:space="preserve">    </t>
    </r>
    <r>
      <rPr>
        <sz val="10"/>
        <rFont val="宋体"/>
        <charset val="134"/>
      </rPr>
      <t>住房保障共同财政事权转移支付收入</t>
    </r>
    <r>
      <rPr>
        <sz val="10"/>
        <rFont val="Times New Roman"/>
        <family val="1"/>
        <charset val="0"/>
      </rPr>
      <t xml:space="preserve">  </t>
    </r>
  </si>
  <si>
    <r>
      <t xml:space="preserve">    </t>
    </r>
    <r>
      <rPr>
        <sz val="10"/>
        <rFont val="宋体"/>
        <charset val="134"/>
      </rPr>
      <t>住房保障共同财政事权转移支付支出</t>
    </r>
  </si>
  <si>
    <r>
      <t xml:space="preserve">    </t>
    </r>
    <r>
      <rPr>
        <sz val="10"/>
        <rFont val="宋体"/>
        <charset val="134"/>
      </rPr>
      <t>粮油物资储备共同财政事权转移支付收入</t>
    </r>
    <r>
      <rPr>
        <sz val="10"/>
        <rFont val="Times New Roman"/>
        <family val="1"/>
        <charset val="0"/>
      </rPr>
      <t xml:space="preserve">  </t>
    </r>
  </si>
  <si>
    <r>
      <t xml:space="preserve">    </t>
    </r>
    <r>
      <rPr>
        <sz val="10"/>
        <rFont val="宋体"/>
        <charset val="134"/>
      </rPr>
      <t>粮油物资储备共同财政事权转移支付支出</t>
    </r>
  </si>
  <si>
    <r>
      <t xml:space="preserve">    </t>
    </r>
    <r>
      <rPr>
        <sz val="10"/>
        <rFont val="宋体"/>
        <charset val="134"/>
      </rPr>
      <t>灾害防治及应急管理共同财政事权转移支付收入</t>
    </r>
    <r>
      <rPr>
        <sz val="10"/>
        <rFont val="Times New Roman"/>
        <family val="1"/>
        <charset val="0"/>
      </rPr>
      <t xml:space="preserve">  </t>
    </r>
  </si>
  <si>
    <r>
      <t xml:space="preserve">    </t>
    </r>
    <r>
      <rPr>
        <sz val="10"/>
        <rFont val="宋体"/>
        <charset val="134"/>
      </rPr>
      <t>灾害防治及应急管理共同财政事权转移支付支出</t>
    </r>
  </si>
  <si>
    <r>
      <t xml:space="preserve">    </t>
    </r>
    <r>
      <rPr>
        <sz val="10"/>
        <rFont val="宋体"/>
        <charset val="134"/>
      </rPr>
      <t>其他共同财政事权转移支付收入</t>
    </r>
    <r>
      <rPr>
        <sz val="10"/>
        <rFont val="Times New Roman"/>
        <family val="1"/>
        <charset val="0"/>
      </rPr>
      <t xml:space="preserve">  </t>
    </r>
  </si>
  <si>
    <r>
      <t xml:space="preserve">    </t>
    </r>
    <r>
      <rPr>
        <sz val="10"/>
        <rFont val="宋体"/>
        <charset val="134"/>
      </rPr>
      <t>其他共同财政事权转移支付支出</t>
    </r>
    <r>
      <rPr>
        <sz val="10"/>
        <rFont val="Times New Roman"/>
        <family val="1"/>
        <charset val="0"/>
      </rPr>
      <t xml:space="preserve"> </t>
    </r>
  </si>
  <si>
    <r>
      <t xml:space="preserve">    </t>
    </r>
    <r>
      <rPr>
        <sz val="10"/>
        <rFont val="宋体"/>
        <charset val="134"/>
      </rPr>
      <t>其他一般性转移支付收入</t>
    </r>
  </si>
  <si>
    <r>
      <t xml:space="preserve">    </t>
    </r>
    <r>
      <rPr>
        <sz val="10"/>
        <rFont val="宋体"/>
        <charset val="134"/>
      </rPr>
      <t>其他一般性转移支付支出</t>
    </r>
  </si>
  <si>
    <r>
      <t xml:space="preserve">  </t>
    </r>
    <r>
      <rPr>
        <b/>
        <sz val="9"/>
        <rFont val="宋体"/>
        <charset val="134"/>
      </rPr>
      <t>专项转移支付收入</t>
    </r>
  </si>
  <si>
    <r>
      <t xml:space="preserve">  </t>
    </r>
    <r>
      <rPr>
        <b/>
        <sz val="9"/>
        <rFont val="宋体"/>
        <charset val="134"/>
      </rPr>
      <t>专项转移支付支出</t>
    </r>
  </si>
  <si>
    <r>
      <t xml:space="preserve">    </t>
    </r>
    <r>
      <rPr>
        <sz val="10"/>
        <rFont val="宋体"/>
        <charset val="134"/>
      </rPr>
      <t>一般公共服务</t>
    </r>
  </si>
  <si>
    <r>
      <t xml:space="preserve">    </t>
    </r>
    <r>
      <rPr>
        <sz val="10"/>
        <rFont val="宋体"/>
        <charset val="134"/>
      </rPr>
      <t>外交</t>
    </r>
  </si>
  <si>
    <r>
      <t xml:space="preserve">    </t>
    </r>
    <r>
      <rPr>
        <sz val="10"/>
        <rFont val="宋体"/>
        <charset val="134"/>
      </rPr>
      <t>国防</t>
    </r>
  </si>
  <si>
    <r>
      <t xml:space="preserve">    </t>
    </r>
    <r>
      <rPr>
        <sz val="10"/>
        <rFont val="宋体"/>
        <charset val="134"/>
      </rPr>
      <t>公共安全</t>
    </r>
  </si>
  <si>
    <r>
      <t xml:space="preserve">    </t>
    </r>
    <r>
      <rPr>
        <sz val="10"/>
        <rFont val="宋体"/>
        <charset val="134"/>
      </rPr>
      <t>教育</t>
    </r>
  </si>
  <si>
    <r>
      <t xml:space="preserve">    </t>
    </r>
    <r>
      <rPr>
        <sz val="10"/>
        <rFont val="宋体"/>
        <charset val="134"/>
      </rPr>
      <t>科学技术</t>
    </r>
  </si>
  <si>
    <r>
      <t xml:space="preserve">    </t>
    </r>
    <r>
      <rPr>
        <sz val="10"/>
        <rFont val="宋体"/>
        <charset val="134"/>
      </rPr>
      <t>文化旅游体育与传媒</t>
    </r>
  </si>
  <si>
    <r>
      <t xml:space="preserve">    </t>
    </r>
    <r>
      <rPr>
        <sz val="10"/>
        <rFont val="宋体"/>
        <charset val="134"/>
      </rPr>
      <t>社会保障和就业</t>
    </r>
  </si>
  <si>
    <r>
      <t xml:space="preserve">    </t>
    </r>
    <r>
      <rPr>
        <sz val="10"/>
        <rFont val="宋体"/>
        <charset val="134"/>
      </rPr>
      <t>卫生健康</t>
    </r>
  </si>
  <si>
    <r>
      <t xml:space="preserve">    </t>
    </r>
    <r>
      <rPr>
        <sz val="10"/>
        <rFont val="宋体"/>
        <charset val="134"/>
      </rPr>
      <t>节能环保</t>
    </r>
  </si>
  <si>
    <r>
      <t xml:space="preserve">    </t>
    </r>
    <r>
      <rPr>
        <sz val="10"/>
        <rFont val="宋体"/>
        <charset val="134"/>
      </rPr>
      <t>城乡社区</t>
    </r>
  </si>
  <si>
    <r>
      <t xml:space="preserve">    </t>
    </r>
    <r>
      <rPr>
        <sz val="10"/>
        <rFont val="宋体"/>
        <charset val="134"/>
      </rPr>
      <t>农林水</t>
    </r>
  </si>
  <si>
    <r>
      <t xml:space="preserve">    </t>
    </r>
    <r>
      <rPr>
        <sz val="10"/>
        <rFont val="宋体"/>
        <charset val="134"/>
      </rPr>
      <t>交通运输</t>
    </r>
  </si>
  <si>
    <r>
      <t xml:space="preserve">    </t>
    </r>
    <r>
      <rPr>
        <sz val="10"/>
        <rFont val="宋体"/>
        <charset val="134"/>
      </rPr>
      <t>资源勘探信息等</t>
    </r>
  </si>
  <si>
    <r>
      <t xml:space="preserve">    </t>
    </r>
    <r>
      <rPr>
        <sz val="10"/>
        <rFont val="宋体"/>
        <charset val="134"/>
      </rPr>
      <t>商业服务业等</t>
    </r>
  </si>
  <si>
    <r>
      <t xml:space="preserve">    </t>
    </r>
    <r>
      <rPr>
        <sz val="10"/>
        <rFont val="宋体"/>
        <charset val="134"/>
      </rPr>
      <t>金融</t>
    </r>
  </si>
  <si>
    <r>
      <t xml:space="preserve">    </t>
    </r>
    <r>
      <rPr>
        <sz val="10"/>
        <rFont val="宋体"/>
        <charset val="134"/>
      </rPr>
      <t>自然资源海洋气象等</t>
    </r>
  </si>
  <si>
    <r>
      <t xml:space="preserve">    </t>
    </r>
    <r>
      <rPr>
        <sz val="10"/>
        <rFont val="宋体"/>
        <charset val="134"/>
      </rPr>
      <t>住房保障</t>
    </r>
  </si>
  <si>
    <r>
      <t xml:space="preserve">    </t>
    </r>
    <r>
      <rPr>
        <sz val="10"/>
        <rFont val="宋体"/>
        <charset val="134"/>
      </rPr>
      <t>粮油物资储备</t>
    </r>
  </si>
  <si>
    <r>
      <t xml:space="preserve">    </t>
    </r>
    <r>
      <rPr>
        <sz val="10"/>
        <rFont val="宋体"/>
        <charset val="134"/>
      </rPr>
      <t>灾害防治及应急管理</t>
    </r>
  </si>
  <si>
    <r>
      <t xml:space="preserve">    </t>
    </r>
    <r>
      <rPr>
        <sz val="10"/>
        <rFont val="宋体"/>
        <charset val="134"/>
      </rPr>
      <t>其他收入</t>
    </r>
  </si>
  <si>
    <r>
      <t xml:space="preserve">    </t>
    </r>
    <r>
      <rPr>
        <sz val="10"/>
        <rFont val="宋体"/>
        <charset val="134"/>
      </rPr>
      <t>其他支出</t>
    </r>
  </si>
  <si>
    <r>
      <t xml:space="preserve">  </t>
    </r>
    <r>
      <rPr>
        <b/>
        <sz val="9"/>
        <rFont val="宋体"/>
        <charset val="134"/>
      </rPr>
      <t>上解收入</t>
    </r>
  </si>
  <si>
    <r>
      <t xml:space="preserve">  </t>
    </r>
    <r>
      <rPr>
        <b/>
        <sz val="9"/>
        <rFont val="宋体"/>
        <charset val="134"/>
      </rPr>
      <t>上解支出</t>
    </r>
  </si>
  <si>
    <r>
      <t xml:space="preserve">    </t>
    </r>
    <r>
      <rPr>
        <sz val="10"/>
        <rFont val="宋体"/>
        <charset val="134"/>
      </rPr>
      <t>体制上解收入</t>
    </r>
  </si>
  <si>
    <r>
      <t xml:space="preserve">    </t>
    </r>
    <r>
      <rPr>
        <sz val="9"/>
        <rFont val="宋体"/>
        <charset val="134"/>
      </rPr>
      <t>体制上解支出</t>
    </r>
  </si>
  <si>
    <r>
      <t xml:space="preserve">    </t>
    </r>
    <r>
      <rPr>
        <sz val="10"/>
        <rFont val="宋体"/>
        <charset val="134"/>
      </rPr>
      <t>专项上解收入</t>
    </r>
  </si>
  <si>
    <r>
      <t xml:space="preserve">    </t>
    </r>
    <r>
      <rPr>
        <sz val="9"/>
        <rFont val="宋体"/>
        <charset val="134"/>
      </rPr>
      <t>专项上解支出</t>
    </r>
  </si>
  <si>
    <r>
      <t xml:space="preserve">  </t>
    </r>
    <r>
      <rPr>
        <b/>
        <sz val="9"/>
        <rFont val="宋体"/>
        <charset val="134"/>
      </rPr>
      <t>上年结余收入</t>
    </r>
  </si>
  <si>
    <r>
      <t xml:space="preserve">  </t>
    </r>
    <r>
      <rPr>
        <b/>
        <sz val="9"/>
        <rFont val="宋体"/>
        <charset val="134"/>
      </rPr>
      <t>年终结余</t>
    </r>
  </si>
  <si>
    <r>
      <t xml:space="preserve">    </t>
    </r>
    <r>
      <rPr>
        <sz val="9"/>
        <rFont val="宋体"/>
        <charset val="134"/>
      </rPr>
      <t>上年结转</t>
    </r>
  </si>
  <si>
    <r>
      <t xml:space="preserve">    </t>
    </r>
    <r>
      <rPr>
        <sz val="9"/>
        <rFont val="宋体"/>
        <charset val="134"/>
      </rPr>
      <t>结转下年</t>
    </r>
  </si>
  <si>
    <r>
      <t xml:space="preserve">    </t>
    </r>
    <r>
      <rPr>
        <sz val="9"/>
        <rFont val="宋体"/>
        <charset val="134"/>
      </rPr>
      <t>净结余</t>
    </r>
  </si>
  <si>
    <r>
      <t xml:space="preserve">  </t>
    </r>
    <r>
      <rPr>
        <b/>
        <sz val="9"/>
        <rFont val="宋体"/>
        <charset val="134"/>
      </rPr>
      <t>调入资金</t>
    </r>
  </si>
  <si>
    <r>
      <t xml:space="preserve">  </t>
    </r>
    <r>
      <rPr>
        <b/>
        <sz val="10"/>
        <rFont val="宋体"/>
        <charset val="134"/>
      </rPr>
      <t>待偿债再融资一般债券结余</t>
    </r>
  </si>
  <si>
    <r>
      <t xml:space="preserve">   </t>
    </r>
    <r>
      <rPr>
        <b/>
        <sz val="9"/>
        <rFont val="宋体"/>
        <charset val="134"/>
      </rPr>
      <t>调入一般公共预算资金</t>
    </r>
  </si>
  <si>
    <r>
      <t xml:space="preserve">  </t>
    </r>
    <r>
      <rPr>
        <b/>
        <sz val="9"/>
        <rFont val="宋体"/>
        <charset val="134"/>
      </rPr>
      <t>调出资金</t>
    </r>
  </si>
  <si>
    <r>
      <t xml:space="preserve">    </t>
    </r>
    <r>
      <rPr>
        <sz val="10"/>
        <rFont val="宋体"/>
        <charset val="134"/>
      </rPr>
      <t>从政府性基金预算调入一般公共预算</t>
    </r>
  </si>
  <si>
    <r>
      <t xml:space="preserve">  </t>
    </r>
    <r>
      <rPr>
        <b/>
        <sz val="9"/>
        <rFont val="宋体"/>
        <charset val="134"/>
      </rPr>
      <t>安排预算稳定调节基金</t>
    </r>
  </si>
  <si>
    <r>
      <t xml:space="preserve">    </t>
    </r>
    <r>
      <rPr>
        <sz val="10"/>
        <rFont val="宋体"/>
        <charset val="134"/>
      </rPr>
      <t>从国有资本经营预算调入一般公共预算</t>
    </r>
  </si>
  <si>
    <r>
      <t xml:space="preserve"> </t>
    </r>
    <r>
      <rPr>
        <b/>
        <sz val="10"/>
        <rFont val="宋体"/>
        <charset val="134"/>
      </rPr>
      <t>债务还本支出</t>
    </r>
  </si>
  <si>
    <r>
      <t xml:space="preserve">    </t>
    </r>
    <r>
      <rPr>
        <sz val="10"/>
        <rFont val="宋体"/>
        <charset val="134"/>
      </rPr>
      <t>从其他资金调入一般公共预算</t>
    </r>
  </si>
  <si>
    <r>
      <t xml:space="preserve">  </t>
    </r>
    <r>
      <rPr>
        <b/>
        <sz val="10"/>
        <rFont val="宋体"/>
        <charset val="134"/>
      </rPr>
      <t>地方政府一般债务还本支出</t>
    </r>
  </si>
  <si>
    <r>
      <t xml:space="preserve"> </t>
    </r>
    <r>
      <rPr>
        <b/>
        <sz val="9"/>
        <rFont val="宋体"/>
        <charset val="134"/>
      </rPr>
      <t>债务转贷收入</t>
    </r>
  </si>
  <si>
    <r>
      <t xml:space="preserve">   </t>
    </r>
    <r>
      <rPr>
        <sz val="10"/>
        <rFont val="宋体"/>
        <charset val="134"/>
      </rPr>
      <t>地方政府一般债券还本支出</t>
    </r>
  </si>
  <si>
    <r>
      <t xml:space="preserve">  </t>
    </r>
    <r>
      <rPr>
        <b/>
        <sz val="9"/>
        <rFont val="宋体"/>
        <charset val="134"/>
      </rPr>
      <t>地方政府一般债务转贷收入</t>
    </r>
  </si>
  <si>
    <r>
      <t xml:space="preserve">    </t>
    </r>
    <r>
      <rPr>
        <sz val="9"/>
        <rFont val="宋体"/>
        <charset val="134"/>
      </rPr>
      <t>地方政府向外国政府借款还本支出</t>
    </r>
  </si>
  <si>
    <r>
      <t xml:space="preserve">     </t>
    </r>
    <r>
      <rPr>
        <sz val="9"/>
        <rFont val="宋体"/>
        <charset val="134"/>
      </rPr>
      <t>地方政府一般债券转贷收入</t>
    </r>
  </si>
  <si>
    <r>
      <t xml:space="preserve">    </t>
    </r>
    <r>
      <rPr>
        <sz val="9"/>
        <rFont val="宋体"/>
        <charset val="134"/>
      </rPr>
      <t>地方政府向国际组织借款还本支出</t>
    </r>
  </si>
  <si>
    <r>
      <t xml:space="preserve">     </t>
    </r>
    <r>
      <rPr>
        <sz val="9"/>
        <rFont val="宋体"/>
        <charset val="134"/>
      </rPr>
      <t>地方政府向外国政府借款转贷收入</t>
    </r>
  </si>
  <si>
    <r>
      <t xml:space="preserve">    </t>
    </r>
    <r>
      <rPr>
        <sz val="9"/>
        <rFont val="宋体"/>
        <charset val="134"/>
      </rPr>
      <t>地方政府其他一般债券还本支出</t>
    </r>
  </si>
  <si>
    <r>
      <t xml:space="preserve">     </t>
    </r>
    <r>
      <rPr>
        <sz val="9"/>
        <rFont val="宋体"/>
        <charset val="134"/>
      </rPr>
      <t>地方政府向国际组织借款转贷收入</t>
    </r>
  </si>
  <si>
    <r>
      <t xml:space="preserve">     </t>
    </r>
    <r>
      <rPr>
        <sz val="9"/>
        <rFont val="宋体"/>
        <charset val="134"/>
      </rPr>
      <t>地方政府其他一般债券转贷收入</t>
    </r>
  </si>
  <si>
    <r>
      <t xml:space="preserve">  </t>
    </r>
    <r>
      <rPr>
        <b/>
        <sz val="9"/>
        <rFont val="宋体"/>
        <charset val="134"/>
      </rPr>
      <t>动用预算稳定调节基金</t>
    </r>
  </si>
  <si>
    <r>
      <t xml:space="preserve">  </t>
    </r>
    <r>
      <rPr>
        <b/>
        <sz val="9"/>
        <rFont val="宋体"/>
        <charset val="134"/>
      </rPr>
      <t>区域间转移性收入</t>
    </r>
  </si>
  <si>
    <r>
      <t xml:space="preserve">    </t>
    </r>
    <r>
      <rPr>
        <sz val="9"/>
        <rFont val="宋体"/>
        <charset val="134"/>
      </rPr>
      <t>接受其他地区援助收入</t>
    </r>
  </si>
  <si>
    <r>
      <t xml:space="preserve">    </t>
    </r>
    <r>
      <rPr>
        <sz val="9"/>
        <rFont val="宋体"/>
        <charset val="134"/>
      </rPr>
      <t>生态保护补偿转移性收入</t>
    </r>
  </si>
  <si>
    <r>
      <t xml:space="preserve">    </t>
    </r>
    <r>
      <rPr>
        <sz val="9"/>
        <rFont val="宋体"/>
        <charset val="134"/>
      </rPr>
      <t>土地指标调剂转移性收入</t>
    </r>
  </si>
  <si>
    <r>
      <t xml:space="preserve">    </t>
    </r>
    <r>
      <rPr>
        <sz val="9"/>
        <rFont val="宋体"/>
        <charset val="134"/>
      </rPr>
      <t>其他转移性收入</t>
    </r>
  </si>
  <si>
    <t>收入总计</t>
  </si>
  <si>
    <r>
      <rPr>
        <b/>
        <sz val="9"/>
        <rFont val="宋体"/>
        <charset val="134"/>
      </rPr>
      <t>支出总计</t>
    </r>
  </si>
  <si>
    <r>
      <rPr>
        <b/>
        <sz val="16"/>
        <rFont val="黑体"/>
        <family val="3"/>
        <charset val="134"/>
      </rPr>
      <t>表三、</t>
    </r>
    <r>
      <rPr>
        <b/>
        <sz val="16"/>
        <rFont val="Times New Roman"/>
        <family val="1"/>
        <charset val="0"/>
      </rPr>
      <t>2025</t>
    </r>
    <r>
      <rPr>
        <b/>
        <sz val="16"/>
        <rFont val="黑体"/>
        <family val="3"/>
        <charset val="134"/>
      </rPr>
      <t>年公共财政预算支出执行情况表</t>
    </r>
  </si>
  <si>
    <r>
      <rPr>
        <sz val="11"/>
        <rFont val="宋体"/>
        <charset val="134"/>
      </rPr>
      <t>单位：万元</t>
    </r>
  </si>
  <si>
    <r>
      <t>2025</t>
    </r>
    <r>
      <rPr>
        <b/>
        <sz val="10"/>
        <rFont val="宋体"/>
        <charset val="134"/>
      </rPr>
      <t>年预算数</t>
    </r>
  </si>
  <si>
    <r>
      <t>2025</t>
    </r>
    <r>
      <rPr>
        <b/>
        <sz val="10"/>
        <rFont val="宋体"/>
        <charset val="134"/>
      </rPr>
      <t>年调整预算数</t>
    </r>
  </si>
  <si>
    <r>
      <t>2025</t>
    </r>
    <r>
      <rPr>
        <b/>
        <sz val="10"/>
        <rFont val="宋体"/>
        <charset val="134"/>
      </rPr>
      <t>年预算执行数</t>
    </r>
  </si>
  <si>
    <r>
      <rPr>
        <b/>
        <sz val="10"/>
        <rFont val="宋体"/>
        <charset val="134"/>
      </rPr>
      <t>同比增长</t>
    </r>
    <r>
      <rPr>
        <b/>
        <sz val="10"/>
        <rFont val="Times New Roman"/>
        <family val="1"/>
        <charset val="0"/>
      </rPr>
      <t>%</t>
    </r>
  </si>
  <si>
    <r>
      <rPr>
        <b/>
        <sz val="10"/>
        <rFont val="宋体"/>
        <charset val="134"/>
      </rPr>
      <t>完成调整预算数</t>
    </r>
    <r>
      <rPr>
        <b/>
        <sz val="10"/>
        <rFont val="Times New Roman"/>
        <family val="1"/>
        <charset val="0"/>
      </rPr>
      <t>%</t>
    </r>
  </si>
  <si>
    <r>
      <rPr>
        <b/>
        <sz val="9"/>
        <rFont val="宋体"/>
        <charset val="134"/>
      </rPr>
      <t>一、一般公共服务</t>
    </r>
  </si>
  <si>
    <r>
      <t xml:space="preserve">    </t>
    </r>
    <r>
      <rPr>
        <sz val="10"/>
        <rFont val="宋体"/>
        <charset val="134"/>
      </rPr>
      <t>人大事务</t>
    </r>
  </si>
  <si>
    <r>
      <t xml:space="preserve">    </t>
    </r>
    <r>
      <rPr>
        <sz val="10"/>
        <rFont val="宋体"/>
        <charset val="134"/>
      </rPr>
      <t>政协事务</t>
    </r>
  </si>
  <si>
    <r>
      <t xml:space="preserve">    </t>
    </r>
    <r>
      <rPr>
        <sz val="10"/>
        <rFont val="宋体"/>
        <charset val="134"/>
      </rPr>
      <t>政府办公厅</t>
    </r>
    <r>
      <rPr>
        <sz val="10"/>
        <rFont val="Times New Roman"/>
        <family val="1"/>
        <charset val="0"/>
      </rPr>
      <t>(</t>
    </r>
    <r>
      <rPr>
        <sz val="10"/>
        <rFont val="宋体"/>
        <charset val="134"/>
      </rPr>
      <t>室</t>
    </r>
    <r>
      <rPr>
        <sz val="10"/>
        <rFont val="Times New Roman"/>
        <family val="1"/>
        <charset val="0"/>
      </rPr>
      <t>)</t>
    </r>
    <r>
      <rPr>
        <sz val="10"/>
        <rFont val="宋体"/>
        <charset val="134"/>
      </rPr>
      <t>及相关机构事务</t>
    </r>
  </si>
  <si>
    <r>
      <t xml:space="preserve">    </t>
    </r>
    <r>
      <rPr>
        <sz val="10"/>
        <rFont val="宋体"/>
        <charset val="134"/>
      </rPr>
      <t>发展与改革事务</t>
    </r>
  </si>
  <si>
    <r>
      <t xml:space="preserve">    </t>
    </r>
    <r>
      <rPr>
        <sz val="10"/>
        <rFont val="宋体"/>
        <charset val="134"/>
      </rPr>
      <t>统计信息事务</t>
    </r>
  </si>
  <si>
    <r>
      <t xml:space="preserve">    </t>
    </r>
    <r>
      <rPr>
        <sz val="10"/>
        <rFont val="宋体"/>
        <charset val="134"/>
      </rPr>
      <t>财政事务</t>
    </r>
  </si>
  <si>
    <r>
      <t xml:space="preserve">    </t>
    </r>
    <r>
      <rPr>
        <sz val="10"/>
        <rFont val="宋体"/>
        <charset val="134"/>
      </rPr>
      <t>税收事务</t>
    </r>
  </si>
  <si>
    <r>
      <t xml:space="preserve">    </t>
    </r>
    <r>
      <rPr>
        <sz val="10"/>
        <rFont val="宋体"/>
        <charset val="134"/>
      </rPr>
      <t>审计事务</t>
    </r>
  </si>
  <si>
    <r>
      <t xml:space="preserve">    </t>
    </r>
    <r>
      <rPr>
        <sz val="10"/>
        <rFont val="宋体"/>
        <charset val="134"/>
      </rPr>
      <t>海关事务</t>
    </r>
  </si>
  <si>
    <r>
      <t xml:space="preserve">    </t>
    </r>
    <r>
      <rPr>
        <sz val="10"/>
        <rFont val="宋体"/>
        <charset val="134"/>
      </rPr>
      <t>纪检监察事务</t>
    </r>
  </si>
  <si>
    <r>
      <t xml:space="preserve">    </t>
    </r>
    <r>
      <rPr>
        <sz val="10"/>
        <rFont val="宋体"/>
        <charset val="134"/>
      </rPr>
      <t>商贸事务</t>
    </r>
  </si>
  <si>
    <r>
      <t xml:space="preserve">    </t>
    </r>
    <r>
      <rPr>
        <sz val="10"/>
        <rFont val="宋体"/>
        <charset val="134"/>
      </rPr>
      <t>知识产权事务</t>
    </r>
  </si>
  <si>
    <r>
      <t xml:space="preserve">    </t>
    </r>
    <r>
      <rPr>
        <sz val="10"/>
        <rFont val="宋体"/>
        <charset val="134"/>
      </rPr>
      <t>民族事务</t>
    </r>
  </si>
  <si>
    <r>
      <t xml:space="preserve">    </t>
    </r>
    <r>
      <rPr>
        <sz val="10"/>
        <rFont val="宋体"/>
        <charset val="134"/>
      </rPr>
      <t>港澳台事务</t>
    </r>
  </si>
  <si>
    <r>
      <t xml:space="preserve">    </t>
    </r>
    <r>
      <rPr>
        <sz val="10"/>
        <rFont val="宋体"/>
        <charset val="134"/>
      </rPr>
      <t>档案事务</t>
    </r>
  </si>
  <si>
    <r>
      <t xml:space="preserve">    </t>
    </r>
    <r>
      <rPr>
        <sz val="10"/>
        <rFont val="宋体"/>
        <charset val="134"/>
      </rPr>
      <t>民主党派及工商联事务</t>
    </r>
  </si>
  <si>
    <r>
      <t xml:space="preserve">    </t>
    </r>
    <r>
      <rPr>
        <sz val="10"/>
        <rFont val="宋体"/>
        <charset val="134"/>
      </rPr>
      <t>群众团体事务</t>
    </r>
  </si>
  <si>
    <r>
      <t xml:space="preserve">    </t>
    </r>
    <r>
      <rPr>
        <sz val="10"/>
        <rFont val="宋体"/>
        <charset val="134"/>
      </rPr>
      <t>党委办公厅（室）及相关机构事务</t>
    </r>
  </si>
  <si>
    <r>
      <t xml:space="preserve">    </t>
    </r>
    <r>
      <rPr>
        <sz val="10"/>
        <rFont val="宋体"/>
        <charset val="134"/>
      </rPr>
      <t>组织事务</t>
    </r>
  </si>
  <si>
    <r>
      <t xml:space="preserve">    </t>
    </r>
    <r>
      <rPr>
        <sz val="10"/>
        <rFont val="宋体"/>
        <charset val="134"/>
      </rPr>
      <t>宣传事务</t>
    </r>
  </si>
  <si>
    <r>
      <t xml:space="preserve">    </t>
    </r>
    <r>
      <rPr>
        <sz val="10"/>
        <rFont val="宋体"/>
        <charset val="134"/>
      </rPr>
      <t>统战事务</t>
    </r>
  </si>
  <si>
    <r>
      <t xml:space="preserve">    </t>
    </r>
    <r>
      <rPr>
        <sz val="10"/>
        <rFont val="宋体"/>
        <charset val="134"/>
      </rPr>
      <t>对外联络事务</t>
    </r>
  </si>
  <si>
    <r>
      <t xml:space="preserve">    </t>
    </r>
    <r>
      <rPr>
        <sz val="10"/>
        <rFont val="宋体"/>
        <charset val="134"/>
      </rPr>
      <t>其他共产党事务支出</t>
    </r>
  </si>
  <si>
    <r>
      <t xml:space="preserve">    </t>
    </r>
    <r>
      <rPr>
        <sz val="10"/>
        <rFont val="宋体"/>
        <charset val="134"/>
      </rPr>
      <t>网信事务</t>
    </r>
  </si>
  <si>
    <r>
      <t xml:space="preserve">    </t>
    </r>
    <r>
      <rPr>
        <sz val="10"/>
        <rFont val="宋体"/>
        <charset val="134"/>
      </rPr>
      <t>市场监督管理事务</t>
    </r>
  </si>
  <si>
    <r>
      <t xml:space="preserve">    </t>
    </r>
    <r>
      <rPr>
        <sz val="10"/>
        <rFont val="宋体"/>
        <charset val="134"/>
      </rPr>
      <t>社会工作事务</t>
    </r>
  </si>
  <si>
    <r>
      <t xml:space="preserve">    </t>
    </r>
    <r>
      <rPr>
        <sz val="10"/>
        <rFont val="宋体"/>
        <charset val="134"/>
      </rPr>
      <t>信访事务</t>
    </r>
  </si>
  <si>
    <r>
      <t xml:space="preserve">    </t>
    </r>
    <r>
      <rPr>
        <sz val="10"/>
        <rFont val="宋体"/>
        <charset val="134"/>
      </rPr>
      <t>数据事务</t>
    </r>
  </si>
  <si>
    <r>
      <t xml:space="preserve">    </t>
    </r>
    <r>
      <rPr>
        <sz val="10"/>
        <rFont val="宋体"/>
        <charset val="134"/>
      </rPr>
      <t>其他一般公共服务支出</t>
    </r>
  </si>
  <si>
    <r>
      <rPr>
        <b/>
        <sz val="9"/>
        <rFont val="宋体"/>
        <charset val="134"/>
      </rPr>
      <t>二、外交支出</t>
    </r>
  </si>
  <si>
    <r>
      <t xml:space="preserve">    </t>
    </r>
    <r>
      <rPr>
        <sz val="10"/>
        <rFont val="宋体"/>
        <charset val="134"/>
      </rPr>
      <t>外交管理事务</t>
    </r>
  </si>
  <si>
    <r>
      <t xml:space="preserve">    </t>
    </r>
    <r>
      <rPr>
        <sz val="10"/>
        <rFont val="宋体"/>
        <charset val="134"/>
      </rPr>
      <t>驻外机构</t>
    </r>
  </si>
  <si>
    <r>
      <t xml:space="preserve">    </t>
    </r>
    <r>
      <rPr>
        <sz val="10"/>
        <rFont val="宋体"/>
        <charset val="134"/>
      </rPr>
      <t>对外援助</t>
    </r>
  </si>
  <si>
    <r>
      <t xml:space="preserve">    </t>
    </r>
    <r>
      <rPr>
        <sz val="10"/>
        <rFont val="宋体"/>
        <charset val="134"/>
      </rPr>
      <t>国际组织</t>
    </r>
  </si>
  <si>
    <r>
      <t xml:space="preserve">    </t>
    </r>
    <r>
      <rPr>
        <sz val="10"/>
        <rFont val="宋体"/>
        <charset val="134"/>
      </rPr>
      <t>对外合作与交流</t>
    </r>
  </si>
  <si>
    <r>
      <t xml:space="preserve">    </t>
    </r>
    <r>
      <rPr>
        <sz val="10"/>
        <rFont val="宋体"/>
        <charset val="134"/>
      </rPr>
      <t>对外宣传</t>
    </r>
  </si>
  <si>
    <r>
      <t xml:space="preserve">    </t>
    </r>
    <r>
      <rPr>
        <sz val="10"/>
        <rFont val="宋体"/>
        <charset val="134"/>
      </rPr>
      <t>边界勘界联检</t>
    </r>
  </si>
  <si>
    <r>
      <t xml:space="preserve">    </t>
    </r>
    <r>
      <rPr>
        <sz val="10"/>
        <rFont val="宋体"/>
        <charset val="134"/>
      </rPr>
      <t>国际发展合作</t>
    </r>
  </si>
  <si>
    <r>
      <t xml:space="preserve">    </t>
    </r>
    <r>
      <rPr>
        <sz val="10"/>
        <rFont val="宋体"/>
        <charset val="134"/>
      </rPr>
      <t>其他外交支出</t>
    </r>
  </si>
  <si>
    <r>
      <rPr>
        <b/>
        <sz val="9"/>
        <rFont val="宋体"/>
        <charset val="134"/>
      </rPr>
      <t>三、国防支出</t>
    </r>
  </si>
  <si>
    <r>
      <t xml:space="preserve">    </t>
    </r>
    <r>
      <rPr>
        <sz val="10"/>
        <rFont val="宋体"/>
        <charset val="134"/>
      </rPr>
      <t>军费</t>
    </r>
  </si>
  <si>
    <r>
      <t xml:space="preserve">    </t>
    </r>
    <r>
      <rPr>
        <sz val="10"/>
        <rFont val="宋体"/>
        <charset val="134"/>
      </rPr>
      <t>国防科研事业</t>
    </r>
  </si>
  <si>
    <r>
      <t xml:space="preserve">    </t>
    </r>
    <r>
      <rPr>
        <sz val="10"/>
        <rFont val="宋体"/>
        <charset val="134"/>
      </rPr>
      <t>专项工程</t>
    </r>
  </si>
  <si>
    <r>
      <t xml:space="preserve">    </t>
    </r>
    <r>
      <rPr>
        <sz val="10"/>
        <rFont val="宋体"/>
        <charset val="134"/>
      </rPr>
      <t>国防动员</t>
    </r>
  </si>
  <si>
    <r>
      <t xml:space="preserve">    </t>
    </r>
    <r>
      <rPr>
        <sz val="10"/>
        <rFont val="宋体"/>
        <charset val="134"/>
      </rPr>
      <t>其他国防支出</t>
    </r>
  </si>
  <si>
    <r>
      <rPr>
        <b/>
        <sz val="9"/>
        <rFont val="宋体"/>
        <charset val="134"/>
      </rPr>
      <t>四、公共安全支出</t>
    </r>
  </si>
  <si>
    <r>
      <t xml:space="preserve">    </t>
    </r>
    <r>
      <rPr>
        <sz val="9"/>
        <rFont val="宋体"/>
        <charset val="134"/>
      </rPr>
      <t>武装警察部队</t>
    </r>
  </si>
  <si>
    <r>
      <t xml:space="preserve">    </t>
    </r>
    <r>
      <rPr>
        <sz val="9"/>
        <rFont val="宋体"/>
        <charset val="134"/>
      </rPr>
      <t>公安</t>
    </r>
  </si>
  <si>
    <r>
      <t xml:space="preserve">    </t>
    </r>
    <r>
      <rPr>
        <sz val="9"/>
        <rFont val="宋体"/>
        <charset val="134"/>
      </rPr>
      <t>国家安全</t>
    </r>
  </si>
  <si>
    <r>
      <t xml:space="preserve">    </t>
    </r>
    <r>
      <rPr>
        <sz val="9"/>
        <rFont val="宋体"/>
        <charset val="134"/>
      </rPr>
      <t>检察</t>
    </r>
  </si>
  <si>
    <r>
      <t xml:space="preserve">    </t>
    </r>
    <r>
      <rPr>
        <sz val="9"/>
        <rFont val="宋体"/>
        <charset val="134"/>
      </rPr>
      <t>法院</t>
    </r>
  </si>
  <si>
    <r>
      <t xml:space="preserve">    </t>
    </r>
    <r>
      <rPr>
        <sz val="9"/>
        <rFont val="宋体"/>
        <charset val="134"/>
      </rPr>
      <t>司法</t>
    </r>
  </si>
  <si>
    <r>
      <t xml:space="preserve">    </t>
    </r>
    <r>
      <rPr>
        <sz val="9"/>
        <rFont val="宋体"/>
        <charset val="134"/>
      </rPr>
      <t>监狱</t>
    </r>
  </si>
  <si>
    <r>
      <t xml:space="preserve">    </t>
    </r>
    <r>
      <rPr>
        <sz val="9"/>
        <rFont val="宋体"/>
        <charset val="134"/>
      </rPr>
      <t>强制隔离戒毒</t>
    </r>
  </si>
  <si>
    <r>
      <t xml:space="preserve">    </t>
    </r>
    <r>
      <rPr>
        <sz val="9"/>
        <rFont val="宋体"/>
        <charset val="134"/>
      </rPr>
      <t>国家保密</t>
    </r>
  </si>
  <si>
    <r>
      <t xml:space="preserve">    </t>
    </r>
    <r>
      <rPr>
        <sz val="9"/>
        <rFont val="宋体"/>
        <charset val="134"/>
      </rPr>
      <t>缉私警察</t>
    </r>
  </si>
  <si>
    <r>
      <t xml:space="preserve">    </t>
    </r>
    <r>
      <rPr>
        <sz val="9"/>
        <rFont val="宋体"/>
        <charset val="134"/>
      </rPr>
      <t>其他公共安全支出</t>
    </r>
  </si>
  <si>
    <r>
      <rPr>
        <b/>
        <sz val="9"/>
        <rFont val="宋体"/>
        <charset val="134"/>
      </rPr>
      <t>五、教育支出</t>
    </r>
  </si>
  <si>
    <r>
      <t xml:space="preserve">    </t>
    </r>
    <r>
      <rPr>
        <sz val="9"/>
        <rFont val="宋体"/>
        <charset val="134"/>
      </rPr>
      <t>教育管理事务</t>
    </r>
  </si>
  <si>
    <r>
      <t xml:space="preserve">    </t>
    </r>
    <r>
      <rPr>
        <sz val="9"/>
        <color indexed="8"/>
        <rFont val="宋体"/>
        <charset val="134"/>
      </rPr>
      <t>普通教育</t>
    </r>
  </si>
  <si>
    <r>
      <t xml:space="preserve">    </t>
    </r>
    <r>
      <rPr>
        <sz val="9"/>
        <rFont val="宋体"/>
        <charset val="134"/>
      </rPr>
      <t>职业教育</t>
    </r>
  </si>
  <si>
    <r>
      <t xml:space="preserve">    </t>
    </r>
    <r>
      <rPr>
        <sz val="9"/>
        <rFont val="宋体"/>
        <charset val="134"/>
      </rPr>
      <t>成人教育</t>
    </r>
  </si>
  <si>
    <r>
      <t xml:space="preserve">    </t>
    </r>
    <r>
      <rPr>
        <sz val="9"/>
        <rFont val="宋体"/>
        <charset val="134"/>
      </rPr>
      <t>广播电视教育</t>
    </r>
  </si>
  <si>
    <r>
      <t xml:space="preserve">    </t>
    </r>
    <r>
      <rPr>
        <sz val="9"/>
        <rFont val="宋体"/>
        <charset val="134"/>
      </rPr>
      <t>留学教育</t>
    </r>
  </si>
  <si>
    <r>
      <t xml:space="preserve">    </t>
    </r>
    <r>
      <rPr>
        <sz val="9"/>
        <rFont val="宋体"/>
        <charset val="134"/>
      </rPr>
      <t>特殊教育</t>
    </r>
  </si>
  <si>
    <r>
      <t xml:space="preserve">    </t>
    </r>
    <r>
      <rPr>
        <sz val="9"/>
        <rFont val="宋体"/>
        <charset val="134"/>
      </rPr>
      <t>进修及培训</t>
    </r>
  </si>
  <si>
    <r>
      <t xml:space="preserve">    </t>
    </r>
    <r>
      <rPr>
        <sz val="9"/>
        <rFont val="宋体"/>
        <charset val="134"/>
      </rPr>
      <t>教育费附加安排的支出</t>
    </r>
  </si>
  <si>
    <r>
      <t xml:space="preserve">    </t>
    </r>
    <r>
      <rPr>
        <sz val="9"/>
        <rFont val="宋体"/>
        <charset val="134"/>
      </rPr>
      <t>其他教育支出</t>
    </r>
  </si>
  <si>
    <r>
      <rPr>
        <b/>
        <sz val="9"/>
        <rFont val="宋体"/>
        <charset val="134"/>
      </rPr>
      <t>六、科学技术支出</t>
    </r>
  </si>
  <si>
    <r>
      <t xml:space="preserve">    </t>
    </r>
    <r>
      <rPr>
        <sz val="9"/>
        <rFont val="宋体"/>
        <charset val="134"/>
      </rPr>
      <t>科学技术管理事务</t>
    </r>
  </si>
  <si>
    <r>
      <t xml:space="preserve">    </t>
    </r>
    <r>
      <rPr>
        <sz val="9"/>
        <rFont val="宋体"/>
        <charset val="134"/>
      </rPr>
      <t>基础研究</t>
    </r>
  </si>
  <si>
    <r>
      <t xml:space="preserve">    </t>
    </r>
    <r>
      <rPr>
        <sz val="9"/>
        <rFont val="宋体"/>
        <charset val="134"/>
      </rPr>
      <t>应用研究</t>
    </r>
  </si>
  <si>
    <r>
      <t xml:space="preserve">    </t>
    </r>
    <r>
      <rPr>
        <sz val="9"/>
        <rFont val="宋体"/>
        <charset val="134"/>
      </rPr>
      <t>技术研究与开发</t>
    </r>
  </si>
  <si>
    <r>
      <t xml:space="preserve">    </t>
    </r>
    <r>
      <rPr>
        <sz val="9"/>
        <rFont val="宋体"/>
        <charset val="134"/>
      </rPr>
      <t>科技条件与服务</t>
    </r>
  </si>
  <si>
    <r>
      <t xml:space="preserve">    </t>
    </r>
    <r>
      <rPr>
        <sz val="9"/>
        <rFont val="宋体"/>
        <charset val="134"/>
      </rPr>
      <t>社会科学</t>
    </r>
  </si>
  <si>
    <r>
      <t xml:space="preserve">    </t>
    </r>
    <r>
      <rPr>
        <sz val="9"/>
        <rFont val="宋体"/>
        <charset val="134"/>
      </rPr>
      <t>科学技术普及</t>
    </r>
  </si>
  <si>
    <r>
      <t xml:space="preserve">    </t>
    </r>
    <r>
      <rPr>
        <sz val="9"/>
        <rFont val="宋体"/>
        <charset val="134"/>
      </rPr>
      <t>科技交流与合作</t>
    </r>
  </si>
  <si>
    <r>
      <t xml:space="preserve">    </t>
    </r>
    <r>
      <rPr>
        <sz val="9"/>
        <rFont val="宋体"/>
        <charset val="134"/>
      </rPr>
      <t>科技重大项目</t>
    </r>
  </si>
  <si>
    <r>
      <t xml:space="preserve">    </t>
    </r>
    <r>
      <rPr>
        <sz val="9"/>
        <rFont val="宋体"/>
        <charset val="134"/>
      </rPr>
      <t>其他科学技术支出</t>
    </r>
  </si>
  <si>
    <r>
      <rPr>
        <b/>
        <sz val="9"/>
        <rFont val="宋体"/>
        <charset val="134"/>
      </rPr>
      <t>七、文化旅游体育与传媒支出</t>
    </r>
  </si>
  <si>
    <r>
      <t xml:space="preserve">    </t>
    </r>
    <r>
      <rPr>
        <sz val="9"/>
        <rFont val="宋体"/>
        <charset val="134"/>
      </rPr>
      <t>文化和旅游</t>
    </r>
  </si>
  <si>
    <r>
      <t xml:space="preserve">    </t>
    </r>
    <r>
      <rPr>
        <sz val="9"/>
        <rFont val="宋体"/>
        <charset val="134"/>
      </rPr>
      <t>文物</t>
    </r>
  </si>
  <si>
    <r>
      <t xml:space="preserve">    </t>
    </r>
    <r>
      <rPr>
        <sz val="9"/>
        <rFont val="宋体"/>
        <charset val="134"/>
      </rPr>
      <t>体育</t>
    </r>
  </si>
  <si>
    <r>
      <t xml:space="preserve">    </t>
    </r>
    <r>
      <rPr>
        <sz val="9"/>
        <rFont val="宋体"/>
        <charset val="134"/>
      </rPr>
      <t>新闻出版电影</t>
    </r>
  </si>
  <si>
    <r>
      <t xml:space="preserve">    </t>
    </r>
    <r>
      <rPr>
        <sz val="9"/>
        <rFont val="宋体"/>
        <charset val="134"/>
      </rPr>
      <t>广播电视</t>
    </r>
  </si>
  <si>
    <r>
      <t xml:space="preserve">    </t>
    </r>
    <r>
      <rPr>
        <sz val="9"/>
        <rFont val="宋体"/>
        <charset val="134"/>
      </rPr>
      <t>其他文化体育与传媒支出</t>
    </r>
  </si>
  <si>
    <r>
      <rPr>
        <b/>
        <sz val="9"/>
        <rFont val="宋体"/>
        <charset val="134"/>
      </rPr>
      <t>八、社会保障和就业支出</t>
    </r>
  </si>
  <si>
    <r>
      <t xml:space="preserve">    </t>
    </r>
    <r>
      <rPr>
        <sz val="9"/>
        <rFont val="宋体"/>
        <charset val="134"/>
      </rPr>
      <t>人力资源和社会保障管理事务</t>
    </r>
  </si>
  <si>
    <r>
      <t xml:space="preserve">    </t>
    </r>
    <r>
      <rPr>
        <sz val="9"/>
        <rFont val="宋体"/>
        <charset val="134"/>
      </rPr>
      <t>民政管理事务</t>
    </r>
  </si>
  <si>
    <r>
      <t xml:space="preserve">    </t>
    </r>
    <r>
      <rPr>
        <sz val="9"/>
        <rFont val="宋体"/>
        <charset val="134"/>
      </rPr>
      <t>补充全国社会保障基金</t>
    </r>
  </si>
  <si>
    <r>
      <t xml:space="preserve">    </t>
    </r>
    <r>
      <rPr>
        <sz val="9"/>
        <rFont val="宋体"/>
        <charset val="134"/>
      </rPr>
      <t>行政事业单位离退休</t>
    </r>
  </si>
  <si>
    <r>
      <t xml:space="preserve">    </t>
    </r>
    <r>
      <rPr>
        <sz val="9"/>
        <rFont val="宋体"/>
        <charset val="134"/>
      </rPr>
      <t>企业改革补助</t>
    </r>
  </si>
  <si>
    <r>
      <t xml:space="preserve">    </t>
    </r>
    <r>
      <rPr>
        <sz val="9"/>
        <rFont val="宋体"/>
        <charset val="134"/>
      </rPr>
      <t>就业补助</t>
    </r>
  </si>
  <si>
    <r>
      <t xml:space="preserve">    </t>
    </r>
    <r>
      <rPr>
        <sz val="9"/>
        <rFont val="宋体"/>
        <charset val="134"/>
      </rPr>
      <t>抚恤</t>
    </r>
  </si>
  <si>
    <r>
      <t xml:space="preserve">    </t>
    </r>
    <r>
      <rPr>
        <sz val="9"/>
        <rFont val="宋体"/>
        <charset val="134"/>
      </rPr>
      <t>退役安置</t>
    </r>
  </si>
  <si>
    <r>
      <t xml:space="preserve">    </t>
    </r>
    <r>
      <rPr>
        <sz val="9"/>
        <rFont val="宋体"/>
        <charset val="134"/>
      </rPr>
      <t>社会福利</t>
    </r>
  </si>
  <si>
    <r>
      <t xml:space="preserve">    </t>
    </r>
    <r>
      <rPr>
        <sz val="9"/>
        <rFont val="宋体"/>
        <charset val="134"/>
      </rPr>
      <t>残疾人事业</t>
    </r>
  </si>
  <si>
    <r>
      <t xml:space="preserve">    </t>
    </r>
    <r>
      <rPr>
        <sz val="9"/>
        <rFont val="宋体"/>
        <charset val="134"/>
      </rPr>
      <t>红十字事业</t>
    </r>
  </si>
  <si>
    <r>
      <t xml:space="preserve">    </t>
    </r>
    <r>
      <rPr>
        <sz val="9"/>
        <rFont val="宋体"/>
        <charset val="134"/>
      </rPr>
      <t>最低生活保障</t>
    </r>
  </si>
  <si>
    <r>
      <t xml:space="preserve">    </t>
    </r>
    <r>
      <rPr>
        <sz val="9"/>
        <rFont val="宋体"/>
        <charset val="134"/>
      </rPr>
      <t>临时救助</t>
    </r>
  </si>
  <si>
    <r>
      <t xml:space="preserve">    </t>
    </r>
    <r>
      <rPr>
        <sz val="9"/>
        <rFont val="宋体"/>
        <charset val="134"/>
      </rPr>
      <t>特困人员救助供养</t>
    </r>
  </si>
  <si>
    <r>
      <t xml:space="preserve">    </t>
    </r>
    <r>
      <rPr>
        <sz val="9"/>
        <rFont val="宋体"/>
        <charset val="134"/>
      </rPr>
      <t>补充道路交通事故社会救助基金</t>
    </r>
  </si>
  <si>
    <r>
      <t xml:space="preserve">    </t>
    </r>
    <r>
      <rPr>
        <sz val="9"/>
        <rFont val="宋体"/>
        <charset val="134"/>
      </rPr>
      <t>其他生活救助</t>
    </r>
  </si>
  <si>
    <r>
      <t xml:space="preserve">    </t>
    </r>
    <r>
      <rPr>
        <sz val="9"/>
        <rFont val="宋体"/>
        <charset val="134"/>
      </rPr>
      <t>财政对基本养老保险基金的补助</t>
    </r>
  </si>
  <si>
    <r>
      <t xml:space="preserve">    </t>
    </r>
    <r>
      <rPr>
        <sz val="9"/>
        <rFont val="宋体"/>
        <charset val="134"/>
      </rPr>
      <t>财政对其他社会保险基金的补助</t>
    </r>
  </si>
  <si>
    <r>
      <t xml:space="preserve">    </t>
    </r>
    <r>
      <rPr>
        <sz val="9"/>
        <rFont val="宋体"/>
        <charset val="134"/>
      </rPr>
      <t>退役军人管理事务</t>
    </r>
  </si>
  <si>
    <r>
      <t xml:space="preserve">    </t>
    </r>
    <r>
      <rPr>
        <sz val="9"/>
        <rFont val="宋体"/>
        <charset val="134"/>
      </rPr>
      <t>财政代缴社会保险费支出</t>
    </r>
  </si>
  <si>
    <r>
      <t xml:space="preserve">    </t>
    </r>
    <r>
      <rPr>
        <sz val="9"/>
        <rFont val="宋体"/>
        <charset val="134"/>
      </rPr>
      <t>其他社会保障和就业支出</t>
    </r>
  </si>
  <si>
    <r>
      <rPr>
        <b/>
        <sz val="9"/>
        <rFont val="宋体"/>
        <charset val="134"/>
      </rPr>
      <t>九、卫生健康支出</t>
    </r>
  </si>
  <si>
    <r>
      <t xml:space="preserve">    </t>
    </r>
    <r>
      <rPr>
        <sz val="9"/>
        <rFont val="宋体"/>
        <charset val="134"/>
      </rPr>
      <t>卫生健康管理事务</t>
    </r>
  </si>
  <si>
    <r>
      <t xml:space="preserve">    </t>
    </r>
    <r>
      <rPr>
        <sz val="9"/>
        <rFont val="宋体"/>
        <charset val="134"/>
      </rPr>
      <t>公立医院</t>
    </r>
  </si>
  <si>
    <r>
      <t xml:space="preserve">    </t>
    </r>
    <r>
      <rPr>
        <sz val="9"/>
        <rFont val="宋体"/>
        <charset val="134"/>
      </rPr>
      <t>基层医疗卫生机构</t>
    </r>
  </si>
  <si>
    <r>
      <t xml:space="preserve">    </t>
    </r>
    <r>
      <rPr>
        <sz val="9"/>
        <rFont val="宋体"/>
        <charset val="134"/>
      </rPr>
      <t>公共卫生</t>
    </r>
  </si>
  <si>
    <r>
      <t xml:space="preserve">    </t>
    </r>
    <r>
      <rPr>
        <sz val="9"/>
        <rFont val="宋体"/>
        <charset val="134"/>
      </rPr>
      <t>计划生育事务</t>
    </r>
  </si>
  <si>
    <r>
      <t xml:space="preserve">    </t>
    </r>
    <r>
      <rPr>
        <sz val="9"/>
        <rFont val="宋体"/>
        <charset val="134"/>
      </rPr>
      <t>行政事业单位医疗</t>
    </r>
  </si>
  <si>
    <r>
      <t xml:space="preserve">    </t>
    </r>
    <r>
      <rPr>
        <sz val="9"/>
        <rFont val="宋体"/>
        <charset val="134"/>
      </rPr>
      <t>财政对基本医疗保险基金的补助</t>
    </r>
  </si>
  <si>
    <r>
      <t xml:space="preserve">    </t>
    </r>
    <r>
      <rPr>
        <sz val="9"/>
        <rFont val="宋体"/>
        <charset val="134"/>
      </rPr>
      <t>医疗救助</t>
    </r>
  </si>
  <si>
    <r>
      <t xml:space="preserve">    </t>
    </r>
    <r>
      <rPr>
        <sz val="9"/>
        <rFont val="宋体"/>
        <charset val="134"/>
      </rPr>
      <t>优抚对象医疗</t>
    </r>
  </si>
  <si>
    <r>
      <t xml:space="preserve">    </t>
    </r>
    <r>
      <rPr>
        <sz val="9"/>
        <rFont val="宋体"/>
        <charset val="134"/>
      </rPr>
      <t>医疗保障管理事务</t>
    </r>
  </si>
  <si>
    <r>
      <t xml:space="preserve">    </t>
    </r>
    <r>
      <rPr>
        <sz val="9"/>
        <rFont val="宋体"/>
        <charset val="134"/>
      </rPr>
      <t>中医药事务</t>
    </r>
  </si>
  <si>
    <r>
      <t xml:space="preserve">    </t>
    </r>
    <r>
      <rPr>
        <sz val="9"/>
        <rFont val="宋体"/>
        <charset val="134"/>
      </rPr>
      <t>疾病预防控制事务</t>
    </r>
  </si>
  <si>
    <r>
      <t xml:space="preserve">    </t>
    </r>
    <r>
      <rPr>
        <sz val="9"/>
        <rFont val="宋体"/>
        <charset val="134"/>
      </rPr>
      <t>育幼服务</t>
    </r>
  </si>
  <si>
    <r>
      <t xml:space="preserve">    </t>
    </r>
    <r>
      <rPr>
        <sz val="9"/>
        <rFont val="宋体"/>
        <charset val="134"/>
      </rPr>
      <t>其他卫生健康支出</t>
    </r>
  </si>
  <si>
    <r>
      <rPr>
        <b/>
        <sz val="9"/>
        <rFont val="宋体"/>
        <charset val="134"/>
      </rPr>
      <t>十、节能环保支出</t>
    </r>
  </si>
  <si>
    <r>
      <t xml:space="preserve">    </t>
    </r>
    <r>
      <rPr>
        <sz val="10"/>
        <rFont val="宋体"/>
        <charset val="134"/>
      </rPr>
      <t>环境保护管理事务</t>
    </r>
  </si>
  <si>
    <r>
      <t xml:space="preserve">    </t>
    </r>
    <r>
      <rPr>
        <sz val="10"/>
        <rFont val="宋体"/>
        <charset val="134"/>
      </rPr>
      <t>环境监测与监察</t>
    </r>
  </si>
  <si>
    <r>
      <t xml:space="preserve">    </t>
    </r>
    <r>
      <rPr>
        <sz val="10"/>
        <rFont val="宋体"/>
        <charset val="134"/>
      </rPr>
      <t>污染防治</t>
    </r>
  </si>
  <si>
    <r>
      <t xml:space="preserve">    </t>
    </r>
    <r>
      <rPr>
        <sz val="10"/>
        <rFont val="宋体"/>
        <charset val="134"/>
      </rPr>
      <t>自然生态保护</t>
    </r>
  </si>
  <si>
    <r>
      <t xml:space="preserve">    </t>
    </r>
    <r>
      <rPr>
        <sz val="10"/>
        <rFont val="宋体"/>
        <charset val="134"/>
      </rPr>
      <t>森林保护修复</t>
    </r>
  </si>
  <si>
    <r>
      <t xml:space="preserve">    </t>
    </r>
    <r>
      <rPr>
        <sz val="10"/>
        <rFont val="宋体"/>
        <charset val="134"/>
      </rPr>
      <t>风沙荒漠治理</t>
    </r>
  </si>
  <si>
    <r>
      <t xml:space="preserve">    </t>
    </r>
    <r>
      <rPr>
        <sz val="10"/>
        <rFont val="宋体"/>
        <charset val="134"/>
      </rPr>
      <t>退牧还草</t>
    </r>
  </si>
  <si>
    <r>
      <t xml:space="preserve">    </t>
    </r>
    <r>
      <rPr>
        <sz val="10"/>
        <rFont val="宋体"/>
        <charset val="134"/>
      </rPr>
      <t>已垦草原退耕还草</t>
    </r>
  </si>
  <si>
    <r>
      <t xml:space="preserve">    </t>
    </r>
    <r>
      <rPr>
        <sz val="10"/>
        <rFont val="宋体"/>
        <charset val="134"/>
      </rPr>
      <t>能源节约利用</t>
    </r>
  </si>
  <si>
    <r>
      <t xml:space="preserve">    </t>
    </r>
    <r>
      <rPr>
        <sz val="10"/>
        <rFont val="宋体"/>
        <charset val="134"/>
      </rPr>
      <t>污染减排</t>
    </r>
  </si>
  <si>
    <r>
      <t xml:space="preserve">    </t>
    </r>
    <r>
      <rPr>
        <sz val="10"/>
        <rFont val="宋体"/>
        <charset val="134"/>
      </rPr>
      <t>清洁能源</t>
    </r>
  </si>
  <si>
    <r>
      <t xml:space="preserve">    </t>
    </r>
    <r>
      <rPr>
        <sz val="10"/>
        <rFont val="宋体"/>
        <charset val="134"/>
      </rPr>
      <t>循环经济</t>
    </r>
  </si>
  <si>
    <r>
      <t xml:space="preserve">    </t>
    </r>
    <r>
      <rPr>
        <sz val="10"/>
        <rFont val="宋体"/>
        <charset val="134"/>
      </rPr>
      <t>能源管理事务</t>
    </r>
  </si>
  <si>
    <r>
      <t xml:space="preserve">    </t>
    </r>
    <r>
      <rPr>
        <sz val="10"/>
        <rFont val="宋体"/>
        <charset val="134"/>
      </rPr>
      <t>其他节能环保支出</t>
    </r>
  </si>
  <si>
    <r>
      <rPr>
        <b/>
        <sz val="9"/>
        <rFont val="宋体"/>
        <charset val="134"/>
      </rPr>
      <t>十一、城乡社区支出</t>
    </r>
  </si>
  <si>
    <r>
      <t xml:space="preserve">      </t>
    </r>
    <r>
      <rPr>
        <sz val="9"/>
        <rFont val="宋体"/>
        <charset val="134"/>
      </rPr>
      <t>城乡社区管理事务</t>
    </r>
  </si>
  <si>
    <r>
      <t xml:space="preserve">      </t>
    </r>
    <r>
      <rPr>
        <sz val="9"/>
        <rFont val="宋体"/>
        <charset val="134"/>
      </rPr>
      <t>城乡社区规划与管理</t>
    </r>
  </si>
  <si>
    <r>
      <t xml:space="preserve">      </t>
    </r>
    <r>
      <rPr>
        <sz val="9"/>
        <rFont val="宋体"/>
        <charset val="134"/>
      </rPr>
      <t>城乡社区公共设施</t>
    </r>
  </si>
  <si>
    <r>
      <t xml:space="preserve">      </t>
    </r>
    <r>
      <rPr>
        <sz val="9"/>
        <rFont val="宋体"/>
        <charset val="134"/>
      </rPr>
      <t>城乡社区环境卫生</t>
    </r>
  </si>
  <si>
    <r>
      <t xml:space="preserve">      </t>
    </r>
    <r>
      <rPr>
        <sz val="9"/>
        <rFont val="宋体"/>
        <charset val="134"/>
      </rPr>
      <t>建设市场管理与监督</t>
    </r>
  </si>
  <si>
    <r>
      <t xml:space="preserve">      </t>
    </r>
    <r>
      <rPr>
        <sz val="9"/>
        <rFont val="宋体"/>
        <charset val="134"/>
      </rPr>
      <t>其他城乡社区支出</t>
    </r>
  </si>
  <si>
    <r>
      <rPr>
        <b/>
        <sz val="9"/>
        <rFont val="宋体"/>
        <charset val="134"/>
      </rPr>
      <t>十二、农林水支出</t>
    </r>
  </si>
  <si>
    <r>
      <t xml:space="preserve">      </t>
    </r>
    <r>
      <rPr>
        <sz val="9"/>
        <rFont val="宋体"/>
        <charset val="134"/>
      </rPr>
      <t>农业</t>
    </r>
  </si>
  <si>
    <r>
      <t xml:space="preserve">      </t>
    </r>
    <r>
      <rPr>
        <sz val="9"/>
        <rFont val="宋体"/>
        <charset val="134"/>
      </rPr>
      <t>林业和草原</t>
    </r>
  </si>
  <si>
    <r>
      <t xml:space="preserve">      </t>
    </r>
    <r>
      <rPr>
        <sz val="9"/>
        <rFont val="宋体"/>
        <charset val="134"/>
      </rPr>
      <t>水利</t>
    </r>
  </si>
  <si>
    <r>
      <t xml:space="preserve">      </t>
    </r>
    <r>
      <rPr>
        <sz val="9"/>
        <rFont val="宋体"/>
        <charset val="134"/>
      </rPr>
      <t>巩固脱贫攻坚成果衔接乡村振兴</t>
    </r>
  </si>
  <si>
    <r>
      <t xml:space="preserve">      </t>
    </r>
    <r>
      <rPr>
        <sz val="9"/>
        <rFont val="宋体"/>
        <charset val="134"/>
      </rPr>
      <t>农村综合改革</t>
    </r>
  </si>
  <si>
    <r>
      <t xml:space="preserve">      </t>
    </r>
    <r>
      <rPr>
        <sz val="9"/>
        <rFont val="宋体"/>
        <charset val="134"/>
      </rPr>
      <t>普惠金融发展支出</t>
    </r>
  </si>
  <si>
    <r>
      <t xml:space="preserve">      </t>
    </r>
    <r>
      <rPr>
        <sz val="9"/>
        <rFont val="宋体"/>
        <charset val="134"/>
      </rPr>
      <t>目标价格补贴</t>
    </r>
  </si>
  <si>
    <r>
      <t xml:space="preserve">      </t>
    </r>
    <r>
      <rPr>
        <sz val="9"/>
        <rFont val="宋体"/>
        <charset val="134"/>
      </rPr>
      <t>其他农林水支出</t>
    </r>
  </si>
  <si>
    <r>
      <rPr>
        <b/>
        <sz val="9"/>
        <rFont val="宋体"/>
        <charset val="134"/>
      </rPr>
      <t>十三、交通运输支出</t>
    </r>
  </si>
  <si>
    <r>
      <t xml:space="preserve">      </t>
    </r>
    <r>
      <rPr>
        <sz val="9"/>
        <rFont val="宋体"/>
        <charset val="134"/>
      </rPr>
      <t>公路水路运输</t>
    </r>
  </si>
  <si>
    <r>
      <t xml:space="preserve">      </t>
    </r>
    <r>
      <rPr>
        <sz val="9"/>
        <rFont val="宋体"/>
        <charset val="134"/>
      </rPr>
      <t>铁路运输</t>
    </r>
  </si>
  <si>
    <r>
      <t xml:space="preserve">      </t>
    </r>
    <r>
      <rPr>
        <sz val="9"/>
        <rFont val="宋体"/>
        <charset val="134"/>
      </rPr>
      <t>邮政业支出</t>
    </r>
  </si>
  <si>
    <r>
      <t xml:space="preserve">      </t>
    </r>
    <r>
      <rPr>
        <sz val="9"/>
        <rFont val="宋体"/>
        <charset val="134"/>
      </rPr>
      <t>车辆购置税支出</t>
    </r>
  </si>
  <si>
    <r>
      <t xml:space="preserve">      </t>
    </r>
    <r>
      <rPr>
        <sz val="9"/>
        <rFont val="宋体"/>
        <charset val="134"/>
      </rPr>
      <t>其他交通运输支出</t>
    </r>
  </si>
  <si>
    <r>
      <rPr>
        <b/>
        <sz val="9"/>
        <rFont val="宋体"/>
        <charset val="134"/>
      </rPr>
      <t>十四、资源勘探信息等支出</t>
    </r>
  </si>
  <si>
    <r>
      <t xml:space="preserve">      </t>
    </r>
    <r>
      <rPr>
        <sz val="9"/>
        <rFont val="宋体"/>
        <charset val="134"/>
      </rPr>
      <t>资源勘探开发</t>
    </r>
  </si>
  <si>
    <r>
      <t xml:space="preserve">      </t>
    </r>
    <r>
      <rPr>
        <sz val="9"/>
        <rFont val="宋体"/>
        <charset val="134"/>
      </rPr>
      <t>制造业</t>
    </r>
  </si>
  <si>
    <r>
      <t xml:space="preserve">      </t>
    </r>
    <r>
      <rPr>
        <sz val="9"/>
        <rFont val="宋体"/>
        <charset val="134"/>
      </rPr>
      <t>建筑业</t>
    </r>
  </si>
  <si>
    <r>
      <t xml:space="preserve">      </t>
    </r>
    <r>
      <rPr>
        <sz val="9"/>
        <rFont val="宋体"/>
        <charset val="134"/>
      </rPr>
      <t>工业和信息产业监管</t>
    </r>
  </si>
  <si>
    <r>
      <t xml:space="preserve">      </t>
    </r>
    <r>
      <rPr>
        <sz val="9"/>
        <rFont val="宋体"/>
        <charset val="134"/>
      </rPr>
      <t>国有资产监管</t>
    </r>
  </si>
  <si>
    <r>
      <t xml:space="preserve">      </t>
    </r>
    <r>
      <rPr>
        <sz val="9"/>
        <rFont val="宋体"/>
        <charset val="134"/>
      </rPr>
      <t>支持中小企业发展和管理支出</t>
    </r>
  </si>
  <si>
    <r>
      <t xml:space="preserve">      </t>
    </r>
    <r>
      <rPr>
        <sz val="9"/>
        <rFont val="宋体"/>
        <charset val="134"/>
      </rPr>
      <t>其他资源勘探信息等支出</t>
    </r>
  </si>
  <si>
    <r>
      <rPr>
        <b/>
        <sz val="9"/>
        <rFont val="宋体"/>
        <charset val="134"/>
      </rPr>
      <t>十五、商业服务业等支出</t>
    </r>
  </si>
  <si>
    <r>
      <t xml:space="preserve">      </t>
    </r>
    <r>
      <rPr>
        <sz val="9"/>
        <rFont val="宋体"/>
        <charset val="134"/>
      </rPr>
      <t>商业流通事务</t>
    </r>
  </si>
  <si>
    <r>
      <t xml:space="preserve">      </t>
    </r>
    <r>
      <rPr>
        <sz val="9"/>
        <rFont val="宋体"/>
        <charset val="134"/>
      </rPr>
      <t>涉外发展服务支出</t>
    </r>
  </si>
  <si>
    <r>
      <t xml:space="preserve">      </t>
    </r>
    <r>
      <rPr>
        <sz val="9"/>
        <rFont val="宋体"/>
        <charset val="134"/>
      </rPr>
      <t>其他商业服务业等支出</t>
    </r>
  </si>
  <si>
    <r>
      <rPr>
        <b/>
        <sz val="9"/>
        <rFont val="宋体"/>
        <charset val="134"/>
      </rPr>
      <t>十六、金融支出</t>
    </r>
  </si>
  <si>
    <r>
      <t xml:space="preserve">      </t>
    </r>
    <r>
      <rPr>
        <sz val="10"/>
        <rFont val="宋体"/>
        <charset val="134"/>
      </rPr>
      <t>金融部门行政支出</t>
    </r>
  </si>
  <si>
    <r>
      <t xml:space="preserve">      </t>
    </r>
    <r>
      <rPr>
        <sz val="10"/>
        <rFont val="宋体"/>
        <charset val="134"/>
      </rPr>
      <t>金融部门监管支出</t>
    </r>
  </si>
  <si>
    <r>
      <t xml:space="preserve">      </t>
    </r>
    <r>
      <rPr>
        <sz val="10"/>
        <rFont val="宋体"/>
        <charset val="134"/>
      </rPr>
      <t>金融发展支出</t>
    </r>
  </si>
  <si>
    <r>
      <t xml:space="preserve">      </t>
    </r>
    <r>
      <rPr>
        <sz val="10"/>
        <rFont val="宋体"/>
        <charset val="134"/>
      </rPr>
      <t>金融调控支出</t>
    </r>
  </si>
  <si>
    <r>
      <t xml:space="preserve">      </t>
    </r>
    <r>
      <rPr>
        <sz val="10"/>
        <rFont val="宋体"/>
        <charset val="134"/>
      </rPr>
      <t>其他金融支出</t>
    </r>
  </si>
  <si>
    <r>
      <rPr>
        <b/>
        <sz val="9"/>
        <rFont val="宋体"/>
        <charset val="134"/>
      </rPr>
      <t>十七、援助其他地区支出</t>
    </r>
  </si>
  <si>
    <r>
      <t xml:space="preserve">      </t>
    </r>
    <r>
      <rPr>
        <sz val="9"/>
        <rFont val="宋体"/>
        <charset val="134"/>
      </rPr>
      <t>一般公共服务</t>
    </r>
  </si>
  <si>
    <r>
      <t xml:space="preserve">      </t>
    </r>
    <r>
      <rPr>
        <sz val="9"/>
        <rFont val="宋体"/>
        <charset val="134"/>
      </rPr>
      <t>教育</t>
    </r>
  </si>
  <si>
    <r>
      <t xml:space="preserve">      </t>
    </r>
    <r>
      <rPr>
        <sz val="9"/>
        <rFont val="宋体"/>
        <charset val="134"/>
      </rPr>
      <t>文化体育与传媒</t>
    </r>
  </si>
  <si>
    <r>
      <t xml:space="preserve">      </t>
    </r>
    <r>
      <rPr>
        <sz val="9"/>
        <rFont val="宋体"/>
        <charset val="134"/>
      </rPr>
      <t>医疗卫生</t>
    </r>
  </si>
  <si>
    <r>
      <t xml:space="preserve">      </t>
    </r>
    <r>
      <rPr>
        <sz val="9"/>
        <rFont val="宋体"/>
        <charset val="134"/>
      </rPr>
      <t>节能环保</t>
    </r>
  </si>
  <si>
    <r>
      <t xml:space="preserve">      </t>
    </r>
    <r>
      <rPr>
        <sz val="9"/>
        <rFont val="宋体"/>
        <charset val="134"/>
      </rPr>
      <t>农业农村</t>
    </r>
  </si>
  <si>
    <r>
      <t xml:space="preserve">      </t>
    </r>
    <r>
      <rPr>
        <sz val="9"/>
        <rFont val="宋体"/>
        <charset val="134"/>
      </rPr>
      <t>交通运输</t>
    </r>
  </si>
  <si>
    <r>
      <t xml:space="preserve">      </t>
    </r>
    <r>
      <rPr>
        <sz val="9"/>
        <rFont val="宋体"/>
        <charset val="134"/>
      </rPr>
      <t>住房保障</t>
    </r>
  </si>
  <si>
    <r>
      <t xml:space="preserve">      </t>
    </r>
    <r>
      <rPr>
        <sz val="9"/>
        <rFont val="宋体"/>
        <charset val="134"/>
      </rPr>
      <t>其他支出</t>
    </r>
  </si>
  <si>
    <r>
      <rPr>
        <b/>
        <sz val="9"/>
        <rFont val="宋体"/>
        <charset val="134"/>
      </rPr>
      <t>十八、自然资源海洋气象等支出</t>
    </r>
  </si>
  <si>
    <r>
      <t xml:space="preserve">      </t>
    </r>
    <r>
      <rPr>
        <sz val="9"/>
        <rFont val="宋体"/>
        <charset val="134"/>
      </rPr>
      <t>自然资源事务</t>
    </r>
  </si>
  <si>
    <r>
      <t xml:space="preserve">      </t>
    </r>
    <r>
      <rPr>
        <sz val="9"/>
        <rFont val="宋体"/>
        <charset val="134"/>
      </rPr>
      <t>气象事务</t>
    </r>
  </si>
  <si>
    <r>
      <t xml:space="preserve">      </t>
    </r>
    <r>
      <rPr>
        <sz val="9"/>
        <rFont val="宋体"/>
        <charset val="134"/>
      </rPr>
      <t>其他自然资源海洋气象等支出</t>
    </r>
  </si>
  <si>
    <r>
      <rPr>
        <b/>
        <sz val="9"/>
        <rFont val="宋体"/>
        <charset val="134"/>
      </rPr>
      <t>十九、住房保障支出</t>
    </r>
  </si>
  <si>
    <r>
      <t xml:space="preserve">      </t>
    </r>
    <r>
      <rPr>
        <sz val="9"/>
        <rFont val="宋体"/>
        <charset val="134"/>
      </rPr>
      <t>保障性安居工程支出</t>
    </r>
  </si>
  <si>
    <r>
      <t xml:space="preserve">      </t>
    </r>
    <r>
      <rPr>
        <sz val="9"/>
        <rFont val="宋体"/>
        <charset val="134"/>
      </rPr>
      <t>住房改革支出</t>
    </r>
  </si>
  <si>
    <r>
      <t xml:space="preserve">      </t>
    </r>
    <r>
      <rPr>
        <sz val="9"/>
        <rFont val="宋体"/>
        <charset val="134"/>
      </rPr>
      <t>城乡社区住宅</t>
    </r>
  </si>
  <si>
    <r>
      <rPr>
        <b/>
        <sz val="9"/>
        <rFont val="宋体"/>
        <charset val="134"/>
      </rPr>
      <t>二十、粮油物资储备支出</t>
    </r>
  </si>
  <si>
    <r>
      <t xml:space="preserve">      </t>
    </r>
    <r>
      <rPr>
        <sz val="9"/>
        <rFont val="宋体"/>
        <charset val="134"/>
      </rPr>
      <t>粮油物资事务</t>
    </r>
  </si>
  <si>
    <r>
      <t xml:space="preserve">      </t>
    </r>
    <r>
      <rPr>
        <sz val="9"/>
        <rFont val="宋体"/>
        <charset val="134"/>
      </rPr>
      <t>能源储备</t>
    </r>
  </si>
  <si>
    <r>
      <t xml:space="preserve">      </t>
    </r>
    <r>
      <rPr>
        <sz val="9"/>
        <rFont val="宋体"/>
        <charset val="134"/>
      </rPr>
      <t>粮油储备</t>
    </r>
  </si>
  <si>
    <r>
      <t xml:space="preserve">      </t>
    </r>
    <r>
      <rPr>
        <sz val="9"/>
        <rFont val="宋体"/>
        <charset val="134"/>
      </rPr>
      <t>重要商品储备</t>
    </r>
  </si>
  <si>
    <r>
      <rPr>
        <b/>
        <sz val="10"/>
        <rFont val="宋体"/>
        <charset val="134"/>
      </rPr>
      <t>二十一、灾害防治及应急管理支出</t>
    </r>
  </si>
  <si>
    <r>
      <t xml:space="preserve">      </t>
    </r>
    <r>
      <rPr>
        <sz val="10"/>
        <rFont val="宋体"/>
        <charset val="134"/>
      </rPr>
      <t>应急管理事务</t>
    </r>
  </si>
  <si>
    <r>
      <t xml:space="preserve">      </t>
    </r>
    <r>
      <rPr>
        <sz val="10"/>
        <rFont val="宋体"/>
        <charset val="134"/>
      </rPr>
      <t>消防救援事务</t>
    </r>
  </si>
  <si>
    <r>
      <t xml:space="preserve">      </t>
    </r>
    <r>
      <rPr>
        <sz val="10"/>
        <rFont val="宋体"/>
        <charset val="134"/>
      </rPr>
      <t>矿山安全</t>
    </r>
  </si>
  <si>
    <r>
      <t xml:space="preserve">      </t>
    </r>
    <r>
      <rPr>
        <sz val="10"/>
        <rFont val="宋体"/>
        <charset val="134"/>
      </rPr>
      <t>地震事务</t>
    </r>
  </si>
  <si>
    <r>
      <t xml:space="preserve">      </t>
    </r>
    <r>
      <rPr>
        <sz val="10"/>
        <rFont val="宋体"/>
        <charset val="134"/>
      </rPr>
      <t>自然灾害防治</t>
    </r>
  </si>
  <si>
    <r>
      <t xml:space="preserve">      </t>
    </r>
    <r>
      <rPr>
        <sz val="10"/>
        <rFont val="宋体"/>
        <charset val="134"/>
      </rPr>
      <t>自然灾害救灾及恢复重建支出</t>
    </r>
  </si>
  <si>
    <r>
      <t xml:space="preserve">      </t>
    </r>
    <r>
      <rPr>
        <sz val="10"/>
        <rFont val="宋体"/>
        <charset val="134"/>
      </rPr>
      <t>其他灾害防治及应急管理支出</t>
    </r>
  </si>
  <si>
    <r>
      <rPr>
        <b/>
        <sz val="9"/>
        <rFont val="宋体"/>
        <charset val="134"/>
      </rPr>
      <t>二十二、预备费</t>
    </r>
  </si>
  <si>
    <r>
      <rPr>
        <b/>
        <sz val="9"/>
        <rFont val="宋体"/>
        <charset val="134"/>
      </rPr>
      <t>二十三、其他支出</t>
    </r>
  </si>
  <si>
    <t/>
  </si>
  <si>
    <r>
      <t xml:space="preserve">        </t>
    </r>
    <r>
      <rPr>
        <sz val="9"/>
        <rFont val="宋体"/>
        <charset val="134"/>
      </rPr>
      <t>年初预留</t>
    </r>
  </si>
  <si>
    <r>
      <t xml:space="preserve">        </t>
    </r>
    <r>
      <rPr>
        <sz val="9"/>
        <rFont val="宋体"/>
        <charset val="134"/>
      </rPr>
      <t>其他支出</t>
    </r>
  </si>
  <si>
    <r>
      <rPr>
        <b/>
        <sz val="9"/>
        <rFont val="宋体"/>
        <charset val="134"/>
      </rPr>
      <t>二十四、转移性支出</t>
    </r>
  </si>
  <si>
    <r>
      <t xml:space="preserve">    </t>
    </r>
    <r>
      <rPr>
        <sz val="9"/>
        <rFont val="宋体"/>
        <charset val="134"/>
      </rPr>
      <t>上解支出</t>
    </r>
  </si>
  <si>
    <r>
      <t xml:space="preserve">    </t>
    </r>
    <r>
      <rPr>
        <sz val="9"/>
        <rFont val="宋体"/>
        <charset val="134"/>
      </rPr>
      <t>年终结余</t>
    </r>
  </si>
  <si>
    <r>
      <t xml:space="preserve">    </t>
    </r>
    <r>
      <rPr>
        <sz val="9"/>
        <rFont val="宋体"/>
        <charset val="134"/>
      </rPr>
      <t>安排预算稳定调节基金</t>
    </r>
  </si>
  <si>
    <r>
      <rPr>
        <b/>
        <sz val="9"/>
        <rFont val="宋体"/>
        <charset val="134"/>
      </rPr>
      <t>二十五、债务还本支出</t>
    </r>
  </si>
  <si>
    <r>
      <rPr>
        <b/>
        <sz val="9"/>
        <rFont val="宋体"/>
        <charset val="134"/>
      </rPr>
      <t>二十六、债务付息支出</t>
    </r>
  </si>
  <si>
    <r>
      <t xml:space="preserve">      </t>
    </r>
    <r>
      <rPr>
        <sz val="9"/>
        <rFont val="宋体"/>
        <charset val="134"/>
      </rPr>
      <t>地方政府一般债务付息支出</t>
    </r>
  </si>
  <si>
    <r>
      <rPr>
        <b/>
        <sz val="9"/>
        <rFont val="宋体"/>
        <charset val="134"/>
      </rPr>
      <t>二十七、债务发行费用支出</t>
    </r>
  </si>
  <si>
    <r>
      <t xml:space="preserve">      </t>
    </r>
    <r>
      <rPr>
        <sz val="9"/>
        <rFont val="宋体"/>
        <charset val="134"/>
      </rPr>
      <t>地方政府一般债务发行费用支出</t>
    </r>
  </si>
  <si>
    <r>
      <rPr>
        <b/>
        <sz val="9"/>
        <rFont val="宋体"/>
        <charset val="134"/>
      </rPr>
      <t>支出合计</t>
    </r>
  </si>
  <si>
    <r>
      <rPr>
        <b/>
        <sz val="18"/>
        <rFont val="宋体"/>
        <charset val="134"/>
      </rPr>
      <t>表四、</t>
    </r>
    <r>
      <rPr>
        <b/>
        <sz val="18"/>
        <rFont val="Times New Roman"/>
        <family val="1"/>
        <charset val="0"/>
      </rPr>
      <t>2025</t>
    </r>
    <r>
      <rPr>
        <b/>
        <sz val="18"/>
        <rFont val="宋体"/>
        <charset val="134"/>
      </rPr>
      <t>年公共财政支出预算变动及结余情况表</t>
    </r>
  </si>
  <si>
    <r>
      <rPr>
        <b/>
        <sz val="10"/>
        <rFont val="宋体"/>
        <charset val="134"/>
      </rPr>
      <t>科目编码</t>
    </r>
  </si>
  <si>
    <r>
      <rPr>
        <b/>
        <sz val="10"/>
        <rFont val="宋体"/>
        <charset val="134"/>
      </rPr>
      <t>科目名称</t>
    </r>
  </si>
  <si>
    <r>
      <rPr>
        <b/>
        <sz val="10"/>
        <rFont val="宋体"/>
        <charset val="134"/>
      </rPr>
      <t>年初预算数</t>
    </r>
  </si>
  <si>
    <r>
      <rPr>
        <b/>
        <sz val="10"/>
        <rFont val="宋体"/>
        <charset val="134"/>
      </rPr>
      <t>变动金额</t>
    </r>
  </si>
  <si>
    <r>
      <rPr>
        <b/>
        <sz val="10"/>
        <rFont val="宋体"/>
        <charset val="134"/>
      </rPr>
      <t>年末预算变动数</t>
    </r>
  </si>
  <si>
    <r>
      <rPr>
        <b/>
        <sz val="10"/>
        <rFont val="宋体"/>
        <charset val="134"/>
      </rPr>
      <t>年末预算执行数</t>
    </r>
  </si>
  <si>
    <r>
      <rPr>
        <b/>
        <sz val="10"/>
        <rFont val="宋体"/>
        <charset val="134"/>
      </rPr>
      <t>预算结余</t>
    </r>
  </si>
  <si>
    <r>
      <rPr>
        <b/>
        <sz val="10"/>
        <rFont val="宋体"/>
        <charset val="134"/>
      </rPr>
      <t>结转下年使用数</t>
    </r>
  </si>
  <si>
    <r>
      <rPr>
        <b/>
        <sz val="10"/>
        <rFont val="宋体"/>
        <charset val="134"/>
      </rPr>
      <t>小计</t>
    </r>
  </si>
  <si>
    <r>
      <rPr>
        <b/>
        <sz val="10"/>
        <rFont val="宋体"/>
        <charset val="134"/>
      </rPr>
      <t>专项转移支付</t>
    </r>
  </si>
  <si>
    <r>
      <rPr>
        <b/>
        <sz val="10"/>
        <rFont val="宋体"/>
        <charset val="134"/>
      </rPr>
      <t>一般性转</t>
    </r>
    <r>
      <rPr>
        <b/>
        <sz val="10"/>
        <rFont val="Times New Roman"/>
        <family val="1"/>
        <charset val="0"/>
      </rPr>
      <t xml:space="preserve">
</t>
    </r>
    <r>
      <rPr>
        <b/>
        <sz val="10"/>
        <rFont val="宋体"/>
        <charset val="134"/>
      </rPr>
      <t>移支付</t>
    </r>
  </si>
  <si>
    <r>
      <rPr>
        <b/>
        <sz val="10"/>
        <rFont val="宋体"/>
        <charset val="134"/>
      </rPr>
      <t>市级专项</t>
    </r>
    <r>
      <rPr>
        <b/>
        <sz val="10"/>
        <rFont val="Times New Roman"/>
        <family val="1"/>
        <charset val="0"/>
      </rPr>
      <t xml:space="preserve">
</t>
    </r>
    <r>
      <rPr>
        <b/>
        <sz val="10"/>
        <rFont val="宋体"/>
        <charset val="134"/>
      </rPr>
      <t>补助</t>
    </r>
  </si>
  <si>
    <r>
      <rPr>
        <b/>
        <sz val="10"/>
        <rFont val="宋体"/>
        <charset val="134"/>
      </rPr>
      <t>税收返还性收入补助</t>
    </r>
  </si>
  <si>
    <r>
      <rPr>
        <b/>
        <sz val="10"/>
        <rFont val="宋体"/>
        <charset val="134"/>
      </rPr>
      <t>动支预</t>
    </r>
    <r>
      <rPr>
        <b/>
        <sz val="10"/>
        <rFont val="Times New Roman"/>
        <family val="1"/>
        <charset val="0"/>
      </rPr>
      <t xml:space="preserve">
</t>
    </r>
    <r>
      <rPr>
        <b/>
        <sz val="10"/>
        <rFont val="宋体"/>
        <charset val="134"/>
      </rPr>
      <t>备费</t>
    </r>
  </si>
  <si>
    <r>
      <rPr>
        <b/>
        <sz val="10"/>
        <rFont val="宋体"/>
        <charset val="134"/>
      </rPr>
      <t>科目调剂</t>
    </r>
  </si>
  <si>
    <r>
      <rPr>
        <b/>
        <sz val="10"/>
        <rFont val="宋体"/>
        <charset val="134"/>
      </rPr>
      <t>本年超收、短收安排</t>
    </r>
  </si>
  <si>
    <r>
      <rPr>
        <b/>
        <sz val="10"/>
        <rFont val="宋体"/>
        <charset val="134"/>
      </rPr>
      <t>债券转贷收入</t>
    </r>
  </si>
  <si>
    <r>
      <rPr>
        <b/>
        <sz val="10"/>
        <rFont val="宋体"/>
        <charset val="134"/>
      </rPr>
      <t>动用预算稳定调节基金</t>
    </r>
  </si>
  <si>
    <r>
      <rPr>
        <b/>
        <sz val="10"/>
        <rFont val="宋体"/>
        <charset val="134"/>
      </rPr>
      <t>调入资金</t>
    </r>
  </si>
  <si>
    <r>
      <rPr>
        <b/>
        <sz val="10"/>
        <rFont val="宋体"/>
        <charset val="134"/>
      </rPr>
      <t>安排预算稳定调节基金</t>
    </r>
  </si>
  <si>
    <r>
      <rPr>
        <b/>
        <sz val="10"/>
        <rFont val="宋体"/>
        <charset val="134"/>
      </rPr>
      <t>上年结余</t>
    </r>
  </si>
  <si>
    <r>
      <rPr>
        <b/>
        <sz val="10"/>
        <rFont val="宋体"/>
        <charset val="134"/>
      </rPr>
      <t>公共财政支出</t>
    </r>
  </si>
  <si>
    <t>201</t>
  </si>
  <si>
    <r>
      <rPr>
        <b/>
        <sz val="10"/>
        <rFont val="宋体"/>
        <charset val="134"/>
      </rPr>
      <t>一、一般公共服务</t>
    </r>
  </si>
  <si>
    <t>20101</t>
  </si>
  <si>
    <t>20102</t>
  </si>
  <si>
    <t>20103</t>
  </si>
  <si>
    <t>20104</t>
  </si>
  <si>
    <t>20105</t>
  </si>
  <si>
    <t>20106</t>
  </si>
  <si>
    <t>20107</t>
  </si>
  <si>
    <t>20108</t>
  </si>
  <si>
    <t>20109</t>
  </si>
  <si>
    <t>20111</t>
  </si>
  <si>
    <t>20113</t>
  </si>
  <si>
    <t>20114</t>
  </si>
  <si>
    <t>20123</t>
  </si>
  <si>
    <t>20125</t>
  </si>
  <si>
    <t>20126</t>
  </si>
  <si>
    <t>20128</t>
  </si>
  <si>
    <t>20129</t>
  </si>
  <si>
    <t>20131</t>
  </si>
  <si>
    <t>20132</t>
  </si>
  <si>
    <t>20133</t>
  </si>
  <si>
    <t>20134</t>
  </si>
  <si>
    <t>20135</t>
  </si>
  <si>
    <t>20136</t>
  </si>
  <si>
    <t>20137</t>
  </si>
  <si>
    <t>20138</t>
  </si>
  <si>
    <t>20139</t>
  </si>
  <si>
    <t>20140</t>
  </si>
  <si>
    <t>20141</t>
  </si>
  <si>
    <t>20199</t>
  </si>
  <si>
    <t>202</t>
  </si>
  <si>
    <r>
      <rPr>
        <b/>
        <sz val="10"/>
        <rFont val="宋体"/>
        <charset val="134"/>
      </rPr>
      <t>二、外交支出</t>
    </r>
  </si>
  <si>
    <t>20201</t>
  </si>
  <si>
    <t>20202</t>
  </si>
  <si>
    <t>20203</t>
  </si>
  <si>
    <t>20204</t>
  </si>
  <si>
    <t>20205</t>
  </si>
  <si>
    <t>20206</t>
  </si>
  <si>
    <t>20207</t>
  </si>
  <si>
    <t>20208</t>
  </si>
  <si>
    <t>20299</t>
  </si>
  <si>
    <t>203</t>
  </si>
  <si>
    <r>
      <rPr>
        <b/>
        <sz val="10"/>
        <rFont val="宋体"/>
        <charset val="134"/>
      </rPr>
      <t>三、国防支出</t>
    </r>
  </si>
  <si>
    <t>20301</t>
  </si>
  <si>
    <t>20304</t>
  </si>
  <si>
    <t>20305</t>
  </si>
  <si>
    <t>20306</t>
  </si>
  <si>
    <t>20399</t>
  </si>
  <si>
    <t>204</t>
  </si>
  <si>
    <r>
      <rPr>
        <b/>
        <sz val="10"/>
        <rFont val="宋体"/>
        <charset val="134"/>
      </rPr>
      <t>四、公共安全支出</t>
    </r>
  </si>
  <si>
    <t>20401</t>
  </si>
  <si>
    <r>
      <t xml:space="preserve">    </t>
    </r>
    <r>
      <rPr>
        <sz val="10"/>
        <rFont val="宋体"/>
        <charset val="134"/>
      </rPr>
      <t>武装警察部队</t>
    </r>
  </si>
  <si>
    <t>20402</t>
  </si>
  <si>
    <r>
      <t xml:space="preserve">    </t>
    </r>
    <r>
      <rPr>
        <sz val="10"/>
        <rFont val="宋体"/>
        <charset val="134"/>
      </rPr>
      <t>公安</t>
    </r>
  </si>
  <si>
    <t>20403</t>
  </si>
  <si>
    <r>
      <t xml:space="preserve">    </t>
    </r>
    <r>
      <rPr>
        <sz val="10"/>
        <rFont val="宋体"/>
        <charset val="134"/>
      </rPr>
      <t>国家安全</t>
    </r>
  </si>
  <si>
    <t>20404</t>
  </si>
  <si>
    <r>
      <t xml:space="preserve">    </t>
    </r>
    <r>
      <rPr>
        <sz val="10"/>
        <rFont val="宋体"/>
        <charset val="134"/>
      </rPr>
      <t>检察</t>
    </r>
  </si>
  <si>
    <t>20405</t>
  </si>
  <si>
    <r>
      <t xml:space="preserve">    </t>
    </r>
    <r>
      <rPr>
        <sz val="10"/>
        <rFont val="宋体"/>
        <charset val="134"/>
      </rPr>
      <t>法院</t>
    </r>
  </si>
  <si>
    <t>20406</t>
  </si>
  <si>
    <r>
      <t xml:space="preserve">    </t>
    </r>
    <r>
      <rPr>
        <sz val="10"/>
        <rFont val="宋体"/>
        <charset val="134"/>
      </rPr>
      <t>司法</t>
    </r>
  </si>
  <si>
    <t>20407</t>
  </si>
  <si>
    <r>
      <t xml:space="preserve">    </t>
    </r>
    <r>
      <rPr>
        <sz val="10"/>
        <rFont val="宋体"/>
        <charset val="134"/>
      </rPr>
      <t>监狱</t>
    </r>
  </si>
  <si>
    <t>20408</t>
  </si>
  <si>
    <r>
      <t xml:space="preserve">    </t>
    </r>
    <r>
      <rPr>
        <sz val="10"/>
        <rFont val="宋体"/>
        <charset val="134"/>
      </rPr>
      <t>强制隔离戒毒</t>
    </r>
  </si>
  <si>
    <t>20409</t>
  </si>
  <si>
    <r>
      <t xml:space="preserve">    </t>
    </r>
    <r>
      <rPr>
        <sz val="10"/>
        <rFont val="宋体"/>
        <charset val="134"/>
      </rPr>
      <t>国家保密</t>
    </r>
  </si>
  <si>
    <t>20410</t>
  </si>
  <si>
    <r>
      <t xml:space="preserve">    </t>
    </r>
    <r>
      <rPr>
        <sz val="10"/>
        <rFont val="宋体"/>
        <charset val="134"/>
      </rPr>
      <t>缉私警察</t>
    </r>
  </si>
  <si>
    <t>20499</t>
  </si>
  <si>
    <r>
      <t xml:space="preserve">    </t>
    </r>
    <r>
      <rPr>
        <sz val="10"/>
        <rFont val="宋体"/>
        <charset val="134"/>
      </rPr>
      <t>其他公共安全支出</t>
    </r>
  </si>
  <si>
    <t>205</t>
  </si>
  <si>
    <r>
      <rPr>
        <b/>
        <sz val="10"/>
        <rFont val="宋体"/>
        <charset val="134"/>
      </rPr>
      <t>五、教育支出</t>
    </r>
  </si>
  <si>
    <t>20501</t>
  </si>
  <si>
    <r>
      <t xml:space="preserve">    </t>
    </r>
    <r>
      <rPr>
        <sz val="10"/>
        <rFont val="宋体"/>
        <charset val="134"/>
      </rPr>
      <t>教育管理事务</t>
    </r>
  </si>
  <si>
    <t>20502</t>
  </si>
  <si>
    <r>
      <t xml:space="preserve">    </t>
    </r>
    <r>
      <rPr>
        <sz val="10"/>
        <rFont val="宋体"/>
        <charset val="134"/>
      </rPr>
      <t>普通教育</t>
    </r>
  </si>
  <si>
    <t>20503</t>
  </si>
  <si>
    <r>
      <t xml:space="preserve">    </t>
    </r>
    <r>
      <rPr>
        <sz val="10"/>
        <rFont val="宋体"/>
        <charset val="134"/>
      </rPr>
      <t>职业教育</t>
    </r>
  </si>
  <si>
    <t>20504</t>
  </si>
  <si>
    <r>
      <t xml:space="preserve">    </t>
    </r>
    <r>
      <rPr>
        <sz val="10"/>
        <rFont val="宋体"/>
        <charset val="134"/>
      </rPr>
      <t>成人教育</t>
    </r>
  </si>
  <si>
    <t>20505</t>
  </si>
  <si>
    <r>
      <t xml:space="preserve">    </t>
    </r>
    <r>
      <rPr>
        <sz val="10"/>
        <rFont val="宋体"/>
        <charset val="134"/>
      </rPr>
      <t>广播电视教育</t>
    </r>
  </si>
  <si>
    <t>20506</t>
  </si>
  <si>
    <r>
      <t xml:space="preserve">    </t>
    </r>
    <r>
      <rPr>
        <sz val="10"/>
        <rFont val="宋体"/>
        <charset val="134"/>
      </rPr>
      <t>留学教育</t>
    </r>
  </si>
  <si>
    <t>20507</t>
  </si>
  <si>
    <r>
      <t xml:space="preserve">    </t>
    </r>
    <r>
      <rPr>
        <sz val="10"/>
        <rFont val="宋体"/>
        <charset val="134"/>
      </rPr>
      <t>特殊教育</t>
    </r>
  </si>
  <si>
    <t>20508</t>
  </si>
  <si>
    <r>
      <t xml:space="preserve">    </t>
    </r>
    <r>
      <rPr>
        <sz val="10"/>
        <rFont val="宋体"/>
        <charset val="134"/>
      </rPr>
      <t>进修及培训</t>
    </r>
  </si>
  <si>
    <t>20509</t>
  </si>
  <si>
    <r>
      <t xml:space="preserve">    </t>
    </r>
    <r>
      <rPr>
        <sz val="10"/>
        <rFont val="宋体"/>
        <charset val="134"/>
      </rPr>
      <t>教育费附加安排的支出</t>
    </r>
  </si>
  <si>
    <t>20599</t>
  </si>
  <si>
    <r>
      <t xml:space="preserve">    </t>
    </r>
    <r>
      <rPr>
        <sz val="10"/>
        <rFont val="宋体"/>
        <charset val="134"/>
      </rPr>
      <t>其他教育支出</t>
    </r>
  </si>
  <si>
    <t>206</t>
  </si>
  <si>
    <r>
      <rPr>
        <b/>
        <sz val="10"/>
        <rFont val="宋体"/>
        <charset val="134"/>
      </rPr>
      <t>六、科学技术支出</t>
    </r>
  </si>
  <si>
    <t>20601</t>
  </si>
  <si>
    <r>
      <t xml:space="preserve">    </t>
    </r>
    <r>
      <rPr>
        <sz val="10"/>
        <rFont val="宋体"/>
        <charset val="134"/>
      </rPr>
      <t>科学技术管理事务</t>
    </r>
  </si>
  <si>
    <t>20602</t>
  </si>
  <si>
    <r>
      <t xml:space="preserve">    </t>
    </r>
    <r>
      <rPr>
        <sz val="10"/>
        <rFont val="宋体"/>
        <charset val="134"/>
      </rPr>
      <t>基础研究</t>
    </r>
  </si>
  <si>
    <t>20603</t>
  </si>
  <si>
    <r>
      <t xml:space="preserve">    </t>
    </r>
    <r>
      <rPr>
        <sz val="10"/>
        <rFont val="宋体"/>
        <charset val="134"/>
      </rPr>
      <t>应用研究</t>
    </r>
  </si>
  <si>
    <t>20604</t>
  </si>
  <si>
    <r>
      <t xml:space="preserve">    </t>
    </r>
    <r>
      <rPr>
        <sz val="10"/>
        <rFont val="宋体"/>
        <charset val="134"/>
      </rPr>
      <t>技术研究与开发</t>
    </r>
  </si>
  <si>
    <t>20605</t>
  </si>
  <si>
    <r>
      <t xml:space="preserve">    </t>
    </r>
    <r>
      <rPr>
        <sz val="10"/>
        <rFont val="宋体"/>
        <charset val="134"/>
      </rPr>
      <t>科技条件与服务</t>
    </r>
  </si>
  <si>
    <t>20606</t>
  </si>
  <si>
    <r>
      <t xml:space="preserve">    </t>
    </r>
    <r>
      <rPr>
        <sz val="10"/>
        <rFont val="宋体"/>
        <charset val="134"/>
      </rPr>
      <t>社会科学</t>
    </r>
  </si>
  <si>
    <t>20607</t>
  </si>
  <si>
    <r>
      <t xml:space="preserve">    </t>
    </r>
    <r>
      <rPr>
        <sz val="10"/>
        <rFont val="宋体"/>
        <charset val="134"/>
      </rPr>
      <t>科学技术普及</t>
    </r>
  </si>
  <si>
    <t>20608</t>
  </si>
  <si>
    <r>
      <t xml:space="preserve">    </t>
    </r>
    <r>
      <rPr>
        <sz val="10"/>
        <rFont val="宋体"/>
        <charset val="134"/>
      </rPr>
      <t>科技交流与合作</t>
    </r>
  </si>
  <si>
    <t>20609</t>
  </si>
  <si>
    <r>
      <t xml:space="preserve">    </t>
    </r>
    <r>
      <rPr>
        <sz val="10"/>
        <rFont val="宋体"/>
        <charset val="134"/>
      </rPr>
      <t>科技重大项目</t>
    </r>
  </si>
  <si>
    <t>20699</t>
  </si>
  <si>
    <r>
      <t xml:space="preserve">    </t>
    </r>
    <r>
      <rPr>
        <sz val="10"/>
        <rFont val="宋体"/>
        <charset val="134"/>
      </rPr>
      <t>其他科学技术支出</t>
    </r>
  </si>
  <si>
    <t>207</t>
  </si>
  <si>
    <r>
      <rPr>
        <b/>
        <sz val="10"/>
        <rFont val="宋体"/>
        <charset val="134"/>
      </rPr>
      <t>七、文化旅游体育与传媒支出</t>
    </r>
  </si>
  <si>
    <t>20701</t>
  </si>
  <si>
    <r>
      <t xml:space="preserve">    </t>
    </r>
    <r>
      <rPr>
        <sz val="10"/>
        <rFont val="宋体"/>
        <charset val="134"/>
      </rPr>
      <t>文化和旅游</t>
    </r>
  </si>
  <si>
    <t>20702</t>
  </si>
  <si>
    <r>
      <t xml:space="preserve">    </t>
    </r>
    <r>
      <rPr>
        <sz val="10"/>
        <rFont val="宋体"/>
        <charset val="134"/>
      </rPr>
      <t>文物</t>
    </r>
  </si>
  <si>
    <t>20703</t>
  </si>
  <si>
    <r>
      <t xml:space="preserve">    </t>
    </r>
    <r>
      <rPr>
        <sz val="10"/>
        <rFont val="宋体"/>
        <charset val="134"/>
      </rPr>
      <t>体育</t>
    </r>
  </si>
  <si>
    <t>20706</t>
  </si>
  <si>
    <r>
      <t xml:space="preserve">    </t>
    </r>
    <r>
      <rPr>
        <sz val="10"/>
        <rFont val="宋体"/>
        <charset val="134"/>
      </rPr>
      <t>新闻出版电影</t>
    </r>
  </si>
  <si>
    <t>20708</t>
  </si>
  <si>
    <r>
      <t xml:space="preserve">    </t>
    </r>
    <r>
      <rPr>
        <sz val="10"/>
        <rFont val="宋体"/>
        <charset val="134"/>
      </rPr>
      <t>广播电视</t>
    </r>
  </si>
  <si>
    <t>20799</t>
  </si>
  <si>
    <r>
      <t xml:space="preserve">    </t>
    </r>
    <r>
      <rPr>
        <sz val="10"/>
        <rFont val="宋体"/>
        <charset val="134"/>
      </rPr>
      <t>其他文化体育与传媒支出</t>
    </r>
  </si>
  <si>
    <t>208</t>
  </si>
  <si>
    <r>
      <rPr>
        <b/>
        <sz val="10"/>
        <rFont val="宋体"/>
        <charset val="134"/>
      </rPr>
      <t>八、社会保障和就业支出</t>
    </r>
  </si>
  <si>
    <t>20801</t>
  </si>
  <si>
    <r>
      <t xml:space="preserve">    </t>
    </r>
    <r>
      <rPr>
        <sz val="10"/>
        <rFont val="宋体"/>
        <charset val="134"/>
      </rPr>
      <t>人力资源和社会保障管理事务</t>
    </r>
  </si>
  <si>
    <t>20802</t>
  </si>
  <si>
    <r>
      <t xml:space="preserve">    </t>
    </r>
    <r>
      <rPr>
        <sz val="10"/>
        <rFont val="宋体"/>
        <charset val="134"/>
      </rPr>
      <t>民政管理事务</t>
    </r>
  </si>
  <si>
    <t>20804</t>
  </si>
  <si>
    <r>
      <t xml:space="preserve">    </t>
    </r>
    <r>
      <rPr>
        <sz val="10"/>
        <rFont val="宋体"/>
        <charset val="134"/>
      </rPr>
      <t>补充全国社会保障基金</t>
    </r>
  </si>
  <si>
    <t>20805</t>
  </si>
  <si>
    <r>
      <t xml:space="preserve">    </t>
    </r>
    <r>
      <rPr>
        <sz val="10"/>
        <rFont val="宋体"/>
        <charset val="134"/>
      </rPr>
      <t>行政事业单位养老支出</t>
    </r>
  </si>
  <si>
    <t>20806</t>
  </si>
  <si>
    <r>
      <t xml:space="preserve">    </t>
    </r>
    <r>
      <rPr>
        <sz val="10"/>
        <rFont val="宋体"/>
        <charset val="134"/>
      </rPr>
      <t>企业改革补助</t>
    </r>
  </si>
  <si>
    <t>20807</t>
  </si>
  <si>
    <r>
      <t xml:space="preserve">    </t>
    </r>
    <r>
      <rPr>
        <sz val="10"/>
        <rFont val="宋体"/>
        <charset val="134"/>
      </rPr>
      <t>就业补助</t>
    </r>
  </si>
  <si>
    <t>20808</t>
  </si>
  <si>
    <r>
      <t xml:space="preserve">    </t>
    </r>
    <r>
      <rPr>
        <sz val="10"/>
        <rFont val="宋体"/>
        <charset val="134"/>
      </rPr>
      <t>抚恤</t>
    </r>
  </si>
  <si>
    <t>20809</t>
  </si>
  <si>
    <r>
      <t xml:space="preserve">    </t>
    </r>
    <r>
      <rPr>
        <sz val="10"/>
        <rFont val="宋体"/>
        <charset val="134"/>
      </rPr>
      <t>退役安置</t>
    </r>
  </si>
  <si>
    <t>20810</t>
  </si>
  <si>
    <r>
      <t xml:space="preserve">    </t>
    </r>
    <r>
      <rPr>
        <sz val="10"/>
        <rFont val="宋体"/>
        <charset val="134"/>
      </rPr>
      <t>社会福利</t>
    </r>
  </si>
  <si>
    <t>20811</t>
  </si>
  <si>
    <r>
      <t xml:space="preserve">    </t>
    </r>
    <r>
      <rPr>
        <sz val="10"/>
        <rFont val="宋体"/>
        <charset val="134"/>
      </rPr>
      <t>残疾人事业</t>
    </r>
  </si>
  <si>
    <t>20816</t>
  </si>
  <si>
    <r>
      <t xml:space="preserve">    </t>
    </r>
    <r>
      <rPr>
        <sz val="10"/>
        <rFont val="宋体"/>
        <charset val="134"/>
      </rPr>
      <t>红十字事业</t>
    </r>
  </si>
  <si>
    <t>20819</t>
  </si>
  <si>
    <r>
      <t xml:space="preserve">    </t>
    </r>
    <r>
      <rPr>
        <sz val="10"/>
        <rFont val="宋体"/>
        <charset val="134"/>
      </rPr>
      <t>最低生活保障</t>
    </r>
  </si>
  <si>
    <t>20820</t>
  </si>
  <si>
    <r>
      <t xml:space="preserve">    </t>
    </r>
    <r>
      <rPr>
        <sz val="10"/>
        <rFont val="宋体"/>
        <charset val="134"/>
      </rPr>
      <t>临时救助</t>
    </r>
  </si>
  <si>
    <t>20821</t>
  </si>
  <si>
    <r>
      <t xml:space="preserve">    </t>
    </r>
    <r>
      <rPr>
        <sz val="10"/>
        <rFont val="宋体"/>
        <charset val="134"/>
      </rPr>
      <t>特困人员救助供养</t>
    </r>
  </si>
  <si>
    <t>20824</t>
  </si>
  <si>
    <r>
      <t xml:space="preserve">    </t>
    </r>
    <r>
      <rPr>
        <sz val="10"/>
        <rFont val="宋体"/>
        <charset val="134"/>
      </rPr>
      <t>补充道路交通事故社会救助基金</t>
    </r>
  </si>
  <si>
    <t>20825</t>
  </si>
  <si>
    <r>
      <t xml:space="preserve">    </t>
    </r>
    <r>
      <rPr>
        <sz val="10"/>
        <rFont val="宋体"/>
        <charset val="134"/>
      </rPr>
      <t>其他生活救助</t>
    </r>
  </si>
  <si>
    <t>20826</t>
  </si>
  <si>
    <r>
      <t xml:space="preserve">    </t>
    </r>
    <r>
      <rPr>
        <sz val="10"/>
        <rFont val="宋体"/>
        <charset val="134"/>
      </rPr>
      <t>财政对基本养老保险基金的补助</t>
    </r>
  </si>
  <si>
    <t>20827</t>
  </si>
  <si>
    <r>
      <t xml:space="preserve">    </t>
    </r>
    <r>
      <rPr>
        <sz val="10"/>
        <rFont val="宋体"/>
        <charset val="134"/>
      </rPr>
      <t>财政对其他社会保险基金的补助</t>
    </r>
  </si>
  <si>
    <t>20828</t>
  </si>
  <si>
    <r>
      <t xml:space="preserve">    </t>
    </r>
    <r>
      <rPr>
        <sz val="10"/>
        <rFont val="宋体"/>
        <charset val="134"/>
      </rPr>
      <t>退役军人管理事务</t>
    </r>
  </si>
  <si>
    <t>20830</t>
  </si>
  <si>
    <r>
      <t xml:space="preserve">    </t>
    </r>
    <r>
      <rPr>
        <sz val="10"/>
        <rFont val="宋体"/>
        <charset val="134"/>
      </rPr>
      <t>财政代缴社会保险费支出</t>
    </r>
  </si>
  <si>
    <t>20899</t>
  </si>
  <si>
    <r>
      <t xml:space="preserve">    </t>
    </r>
    <r>
      <rPr>
        <sz val="10"/>
        <rFont val="宋体"/>
        <charset val="134"/>
      </rPr>
      <t>其他社会保障和就业支出</t>
    </r>
  </si>
  <si>
    <t>210</t>
  </si>
  <si>
    <r>
      <rPr>
        <b/>
        <sz val="10"/>
        <rFont val="宋体"/>
        <charset val="134"/>
      </rPr>
      <t>九、卫生健康支出</t>
    </r>
  </si>
  <si>
    <t>21001</t>
  </si>
  <si>
    <r>
      <t xml:space="preserve">    </t>
    </r>
    <r>
      <rPr>
        <sz val="10"/>
        <rFont val="宋体"/>
        <charset val="134"/>
      </rPr>
      <t>卫生健康管理事务</t>
    </r>
  </si>
  <si>
    <t>21002</t>
  </si>
  <si>
    <r>
      <t xml:space="preserve">    </t>
    </r>
    <r>
      <rPr>
        <sz val="10"/>
        <rFont val="宋体"/>
        <charset val="134"/>
      </rPr>
      <t>公立医院</t>
    </r>
  </si>
  <si>
    <t>21003</t>
  </si>
  <si>
    <r>
      <t xml:space="preserve">    </t>
    </r>
    <r>
      <rPr>
        <sz val="10"/>
        <rFont val="宋体"/>
        <charset val="134"/>
      </rPr>
      <t>基层医疗卫生机构</t>
    </r>
  </si>
  <si>
    <t>21004</t>
  </si>
  <si>
    <r>
      <t xml:space="preserve">    </t>
    </r>
    <r>
      <rPr>
        <sz val="10"/>
        <rFont val="宋体"/>
        <charset val="134"/>
      </rPr>
      <t>公共卫生</t>
    </r>
  </si>
  <si>
    <t>21007</t>
  </si>
  <si>
    <r>
      <t xml:space="preserve">    </t>
    </r>
    <r>
      <rPr>
        <sz val="10"/>
        <rFont val="宋体"/>
        <charset val="134"/>
      </rPr>
      <t>计划生育事务</t>
    </r>
  </si>
  <si>
    <t>21011</t>
  </si>
  <si>
    <r>
      <t xml:space="preserve">    </t>
    </r>
    <r>
      <rPr>
        <sz val="10"/>
        <rFont val="宋体"/>
        <charset val="134"/>
      </rPr>
      <t>行政事业单位医疗</t>
    </r>
  </si>
  <si>
    <t>21012</t>
  </si>
  <si>
    <r>
      <t xml:space="preserve">    </t>
    </r>
    <r>
      <rPr>
        <sz val="10"/>
        <rFont val="宋体"/>
        <charset val="134"/>
      </rPr>
      <t>财政对基本医疗保险基金的补助</t>
    </r>
  </si>
  <si>
    <t>21013</t>
  </si>
  <si>
    <r>
      <t xml:space="preserve">    </t>
    </r>
    <r>
      <rPr>
        <sz val="10"/>
        <rFont val="宋体"/>
        <charset val="134"/>
      </rPr>
      <t>医疗救助</t>
    </r>
  </si>
  <si>
    <t>21014</t>
  </si>
  <si>
    <r>
      <t xml:space="preserve">    </t>
    </r>
    <r>
      <rPr>
        <sz val="10"/>
        <rFont val="宋体"/>
        <charset val="134"/>
      </rPr>
      <t>优抚对象医疗</t>
    </r>
  </si>
  <si>
    <t>21015</t>
  </si>
  <si>
    <r>
      <t xml:space="preserve">    </t>
    </r>
    <r>
      <rPr>
        <sz val="10"/>
        <rFont val="宋体"/>
        <charset val="134"/>
      </rPr>
      <t>医疗保障管理事务</t>
    </r>
  </si>
  <si>
    <t>21017</t>
  </si>
  <si>
    <r>
      <t xml:space="preserve">    </t>
    </r>
    <r>
      <rPr>
        <sz val="10"/>
        <rFont val="宋体"/>
        <charset val="134"/>
      </rPr>
      <t>中医药事务</t>
    </r>
  </si>
  <si>
    <t>21018</t>
  </si>
  <si>
    <r>
      <t xml:space="preserve">    </t>
    </r>
    <r>
      <rPr>
        <sz val="10"/>
        <rFont val="宋体"/>
        <charset val="134"/>
      </rPr>
      <t>疾病预防控制事务</t>
    </r>
  </si>
  <si>
    <t>21019</t>
  </si>
  <si>
    <r>
      <t xml:space="preserve">    </t>
    </r>
    <r>
      <rPr>
        <sz val="10"/>
        <rFont val="宋体"/>
        <charset val="134"/>
      </rPr>
      <t>育幼服务</t>
    </r>
  </si>
  <si>
    <t>21099</t>
  </si>
  <si>
    <r>
      <t xml:space="preserve">    </t>
    </r>
    <r>
      <rPr>
        <sz val="10"/>
        <rFont val="宋体"/>
        <charset val="134"/>
      </rPr>
      <t>其他卫生健康支出</t>
    </r>
  </si>
  <si>
    <t>211</t>
  </si>
  <si>
    <r>
      <rPr>
        <b/>
        <sz val="10"/>
        <rFont val="宋体"/>
        <charset val="134"/>
      </rPr>
      <t>十、节能环保支出</t>
    </r>
  </si>
  <si>
    <t>21101</t>
  </si>
  <si>
    <t>21102</t>
  </si>
  <si>
    <t>21103</t>
  </si>
  <si>
    <t>21104</t>
  </si>
  <si>
    <t>21105</t>
  </si>
  <si>
    <t>21106</t>
  </si>
  <si>
    <t>21107</t>
  </si>
  <si>
    <t>21109</t>
  </si>
  <si>
    <t>21110</t>
  </si>
  <si>
    <t>21111</t>
  </si>
  <si>
    <t>21112</t>
  </si>
  <si>
    <t>21113</t>
  </si>
  <si>
    <t>21114</t>
  </si>
  <si>
    <t>21199</t>
  </si>
  <si>
    <t>212</t>
  </si>
  <si>
    <r>
      <rPr>
        <b/>
        <sz val="10"/>
        <rFont val="宋体"/>
        <charset val="134"/>
      </rPr>
      <t>十一、城乡社区支出</t>
    </r>
  </si>
  <si>
    <t>21201</t>
  </si>
  <si>
    <r>
      <t xml:space="preserve">      </t>
    </r>
    <r>
      <rPr>
        <sz val="10"/>
        <rFont val="宋体"/>
        <charset val="134"/>
      </rPr>
      <t>城乡社区管理事务</t>
    </r>
  </si>
  <si>
    <t>21202</t>
  </si>
  <si>
    <r>
      <t xml:space="preserve">      </t>
    </r>
    <r>
      <rPr>
        <sz val="10"/>
        <rFont val="宋体"/>
        <charset val="134"/>
      </rPr>
      <t>城乡社区规划与管理</t>
    </r>
  </si>
  <si>
    <t>21203</t>
  </si>
  <si>
    <r>
      <t xml:space="preserve">      </t>
    </r>
    <r>
      <rPr>
        <sz val="10"/>
        <rFont val="宋体"/>
        <charset val="134"/>
      </rPr>
      <t>城乡社区公共设施</t>
    </r>
  </si>
  <si>
    <t>21205</t>
  </si>
  <si>
    <r>
      <t xml:space="preserve">      </t>
    </r>
    <r>
      <rPr>
        <sz val="10"/>
        <rFont val="宋体"/>
        <charset val="134"/>
      </rPr>
      <t>城乡社区环境卫生</t>
    </r>
  </si>
  <si>
    <t>21206</t>
  </si>
  <si>
    <r>
      <t xml:space="preserve">      </t>
    </r>
    <r>
      <rPr>
        <sz val="10"/>
        <rFont val="宋体"/>
        <charset val="134"/>
      </rPr>
      <t>建设市场管理与监督</t>
    </r>
  </si>
  <si>
    <t>21299</t>
  </si>
  <si>
    <r>
      <t xml:space="preserve">      </t>
    </r>
    <r>
      <rPr>
        <sz val="10"/>
        <rFont val="宋体"/>
        <charset val="134"/>
      </rPr>
      <t>其他城乡社区支出</t>
    </r>
  </si>
  <si>
    <t>213</t>
  </si>
  <si>
    <r>
      <rPr>
        <b/>
        <sz val="10"/>
        <rFont val="宋体"/>
        <charset val="134"/>
      </rPr>
      <t>十二、农林水支出</t>
    </r>
  </si>
  <si>
    <t>21301</t>
  </si>
  <si>
    <r>
      <t xml:space="preserve">      </t>
    </r>
    <r>
      <rPr>
        <sz val="10"/>
        <rFont val="宋体"/>
        <charset val="134"/>
      </rPr>
      <t>农业</t>
    </r>
  </si>
  <si>
    <t>21302</t>
  </si>
  <si>
    <r>
      <t xml:space="preserve">      </t>
    </r>
    <r>
      <rPr>
        <sz val="10"/>
        <rFont val="宋体"/>
        <charset val="134"/>
      </rPr>
      <t>林业和草原</t>
    </r>
  </si>
  <si>
    <t>21303</t>
  </si>
  <si>
    <r>
      <t xml:space="preserve">      </t>
    </r>
    <r>
      <rPr>
        <sz val="10"/>
        <rFont val="宋体"/>
        <charset val="134"/>
      </rPr>
      <t>水利</t>
    </r>
  </si>
  <si>
    <t>21305</t>
  </si>
  <si>
    <r>
      <t xml:space="preserve">       </t>
    </r>
    <r>
      <rPr>
        <sz val="9"/>
        <rFont val="宋体"/>
        <charset val="134"/>
      </rPr>
      <t>巩固脱贫攻坚成果衔接乡村振兴</t>
    </r>
  </si>
  <si>
    <t>21307</t>
  </si>
  <si>
    <r>
      <t xml:space="preserve">      </t>
    </r>
    <r>
      <rPr>
        <sz val="10"/>
        <rFont val="宋体"/>
        <charset val="134"/>
      </rPr>
      <t>农村综合改革</t>
    </r>
  </si>
  <si>
    <t>21308</t>
  </si>
  <si>
    <r>
      <t xml:space="preserve">      </t>
    </r>
    <r>
      <rPr>
        <sz val="10"/>
        <rFont val="宋体"/>
        <charset val="134"/>
      </rPr>
      <t>普惠金融发展支出</t>
    </r>
  </si>
  <si>
    <t>21309</t>
  </si>
  <si>
    <r>
      <t xml:space="preserve">      </t>
    </r>
    <r>
      <rPr>
        <sz val="10"/>
        <rFont val="宋体"/>
        <charset val="134"/>
      </rPr>
      <t>目标价格补贴</t>
    </r>
  </si>
  <si>
    <t>21399</t>
  </si>
  <si>
    <r>
      <t xml:space="preserve">      </t>
    </r>
    <r>
      <rPr>
        <sz val="10"/>
        <rFont val="宋体"/>
        <charset val="134"/>
      </rPr>
      <t>其他农林水支出</t>
    </r>
  </si>
  <si>
    <t>214</t>
  </si>
  <si>
    <r>
      <rPr>
        <b/>
        <sz val="10"/>
        <rFont val="宋体"/>
        <charset val="134"/>
      </rPr>
      <t>十三、交通运输支出</t>
    </r>
  </si>
  <si>
    <t>21401</t>
  </si>
  <si>
    <r>
      <t xml:space="preserve">      </t>
    </r>
    <r>
      <rPr>
        <sz val="10"/>
        <rFont val="宋体"/>
        <charset val="134"/>
      </rPr>
      <t>公路水路运输</t>
    </r>
  </si>
  <si>
    <t>21402</t>
  </si>
  <si>
    <r>
      <t xml:space="preserve">      </t>
    </r>
    <r>
      <rPr>
        <sz val="10"/>
        <rFont val="宋体"/>
        <charset val="134"/>
      </rPr>
      <t>铁路运输</t>
    </r>
  </si>
  <si>
    <t>21403</t>
  </si>
  <si>
    <r>
      <t xml:space="preserve">      </t>
    </r>
    <r>
      <rPr>
        <sz val="10"/>
        <rFont val="宋体"/>
        <charset val="134"/>
      </rPr>
      <t>民用航空运输</t>
    </r>
  </si>
  <si>
    <t>21406</t>
  </si>
  <si>
    <r>
      <t xml:space="preserve">      </t>
    </r>
    <r>
      <rPr>
        <sz val="10"/>
        <rFont val="宋体"/>
        <charset val="134"/>
      </rPr>
      <t>邮政业支出</t>
    </r>
  </si>
  <si>
    <t>21499</t>
  </si>
  <si>
    <r>
      <t xml:space="preserve">      </t>
    </r>
    <r>
      <rPr>
        <sz val="10"/>
        <rFont val="宋体"/>
        <charset val="134"/>
      </rPr>
      <t>其他交通运输支出</t>
    </r>
  </si>
  <si>
    <t>215</t>
  </si>
  <si>
    <r>
      <rPr>
        <b/>
        <sz val="10"/>
        <rFont val="宋体"/>
        <charset val="134"/>
      </rPr>
      <t>十四、资源勘探信息等支出</t>
    </r>
  </si>
  <si>
    <t>21501</t>
  </si>
  <si>
    <r>
      <t xml:space="preserve">      </t>
    </r>
    <r>
      <rPr>
        <sz val="10"/>
        <rFont val="宋体"/>
        <charset val="134"/>
      </rPr>
      <t>资源勘探开发</t>
    </r>
  </si>
  <si>
    <t>21502</t>
  </si>
  <si>
    <r>
      <t xml:space="preserve">      </t>
    </r>
    <r>
      <rPr>
        <sz val="10"/>
        <rFont val="宋体"/>
        <charset val="134"/>
      </rPr>
      <t>制造业</t>
    </r>
  </si>
  <si>
    <t>21503</t>
  </si>
  <si>
    <r>
      <t xml:space="preserve">      </t>
    </r>
    <r>
      <rPr>
        <sz val="10"/>
        <rFont val="宋体"/>
        <charset val="134"/>
      </rPr>
      <t>建筑业</t>
    </r>
  </si>
  <si>
    <t>21505</t>
  </si>
  <si>
    <r>
      <t xml:space="preserve">      </t>
    </r>
    <r>
      <rPr>
        <sz val="10"/>
        <rFont val="宋体"/>
        <charset val="134"/>
      </rPr>
      <t>工业和信息产业监管</t>
    </r>
  </si>
  <si>
    <t>21507</t>
  </si>
  <si>
    <r>
      <t xml:space="preserve">      </t>
    </r>
    <r>
      <rPr>
        <sz val="10"/>
        <rFont val="宋体"/>
        <charset val="134"/>
      </rPr>
      <t>国有资产监管</t>
    </r>
  </si>
  <si>
    <t>21508</t>
  </si>
  <si>
    <r>
      <t xml:space="preserve">      </t>
    </r>
    <r>
      <rPr>
        <sz val="10"/>
        <rFont val="宋体"/>
        <charset val="134"/>
      </rPr>
      <t>支持中小企业发展和管理支出</t>
    </r>
  </si>
  <si>
    <t>21599</t>
  </si>
  <si>
    <r>
      <t xml:space="preserve">      </t>
    </r>
    <r>
      <rPr>
        <sz val="10"/>
        <rFont val="宋体"/>
        <charset val="134"/>
      </rPr>
      <t>其他资源勘探信息等支出</t>
    </r>
  </si>
  <si>
    <t>216</t>
  </si>
  <si>
    <r>
      <rPr>
        <b/>
        <sz val="10"/>
        <rFont val="宋体"/>
        <charset val="134"/>
      </rPr>
      <t>十五、商业服务业等支出</t>
    </r>
  </si>
  <si>
    <t>21602</t>
  </si>
  <si>
    <r>
      <t xml:space="preserve">      </t>
    </r>
    <r>
      <rPr>
        <sz val="10"/>
        <rFont val="宋体"/>
        <charset val="134"/>
      </rPr>
      <t>商业流通事务</t>
    </r>
  </si>
  <si>
    <t>21606</t>
  </si>
  <si>
    <r>
      <t xml:space="preserve">      </t>
    </r>
    <r>
      <rPr>
        <sz val="10"/>
        <rFont val="宋体"/>
        <charset val="134"/>
      </rPr>
      <t>涉外发展服务支出</t>
    </r>
  </si>
  <si>
    <t>21699</t>
  </si>
  <si>
    <r>
      <t xml:space="preserve">      </t>
    </r>
    <r>
      <rPr>
        <sz val="10"/>
        <rFont val="宋体"/>
        <charset val="134"/>
      </rPr>
      <t>其他商业服务业等支出</t>
    </r>
  </si>
  <si>
    <t>217</t>
  </si>
  <si>
    <r>
      <rPr>
        <b/>
        <sz val="10"/>
        <rFont val="宋体"/>
        <charset val="134"/>
      </rPr>
      <t>十六、金融支出</t>
    </r>
  </si>
  <si>
    <t>21701</t>
  </si>
  <si>
    <t>21702</t>
  </si>
  <si>
    <t>21703</t>
  </si>
  <si>
    <t>21704</t>
  </si>
  <si>
    <t>21799</t>
  </si>
  <si>
    <t>219</t>
  </si>
  <si>
    <r>
      <rPr>
        <b/>
        <sz val="10"/>
        <rFont val="宋体"/>
        <charset val="134"/>
      </rPr>
      <t>十七、援助其他地区支出</t>
    </r>
  </si>
  <si>
    <t>21901</t>
  </si>
  <si>
    <r>
      <t xml:space="preserve">      </t>
    </r>
    <r>
      <rPr>
        <sz val="10"/>
        <rFont val="宋体"/>
        <charset val="134"/>
      </rPr>
      <t>一般公共服务</t>
    </r>
  </si>
  <si>
    <t>21902</t>
  </si>
  <si>
    <r>
      <t xml:space="preserve">      </t>
    </r>
    <r>
      <rPr>
        <sz val="10"/>
        <rFont val="宋体"/>
        <charset val="134"/>
      </rPr>
      <t>教育</t>
    </r>
  </si>
  <si>
    <t>21903</t>
  </si>
  <si>
    <r>
      <t xml:space="preserve">      </t>
    </r>
    <r>
      <rPr>
        <sz val="10"/>
        <rFont val="宋体"/>
        <charset val="134"/>
      </rPr>
      <t>文化体育与传媒</t>
    </r>
  </si>
  <si>
    <t>21904</t>
  </si>
  <si>
    <r>
      <t xml:space="preserve">      </t>
    </r>
    <r>
      <rPr>
        <sz val="10"/>
        <rFont val="宋体"/>
        <charset val="134"/>
      </rPr>
      <t>医疗卫生</t>
    </r>
  </si>
  <si>
    <t>21905</t>
  </si>
  <si>
    <r>
      <t xml:space="preserve">      </t>
    </r>
    <r>
      <rPr>
        <sz val="10"/>
        <rFont val="宋体"/>
        <charset val="134"/>
      </rPr>
      <t>节能环保</t>
    </r>
  </si>
  <si>
    <t>21906</t>
  </si>
  <si>
    <t>21907</t>
  </si>
  <si>
    <r>
      <t xml:space="preserve">      </t>
    </r>
    <r>
      <rPr>
        <sz val="10"/>
        <rFont val="宋体"/>
        <charset val="134"/>
      </rPr>
      <t>交通运输</t>
    </r>
  </si>
  <si>
    <t>21908</t>
  </si>
  <si>
    <r>
      <t xml:space="preserve">      </t>
    </r>
    <r>
      <rPr>
        <sz val="10"/>
        <rFont val="宋体"/>
        <charset val="134"/>
      </rPr>
      <t>住房保障</t>
    </r>
  </si>
  <si>
    <t>21999</t>
  </si>
  <si>
    <r>
      <t xml:space="preserve">      </t>
    </r>
    <r>
      <rPr>
        <sz val="10"/>
        <rFont val="宋体"/>
        <charset val="134"/>
      </rPr>
      <t>其他支出</t>
    </r>
  </si>
  <si>
    <t>220</t>
  </si>
  <si>
    <r>
      <rPr>
        <b/>
        <sz val="10"/>
        <rFont val="宋体"/>
        <charset val="134"/>
      </rPr>
      <t>十八、自然资源海洋气象等支出</t>
    </r>
  </si>
  <si>
    <t>22001</t>
  </si>
  <si>
    <r>
      <t xml:space="preserve">      </t>
    </r>
    <r>
      <rPr>
        <sz val="10"/>
        <rFont val="宋体"/>
        <charset val="134"/>
      </rPr>
      <t>自然资源事务</t>
    </r>
  </si>
  <si>
    <t>22002</t>
  </si>
  <si>
    <r>
      <t xml:space="preserve">      </t>
    </r>
    <r>
      <rPr>
        <sz val="10"/>
        <rFont val="宋体"/>
        <charset val="134"/>
      </rPr>
      <t>气象事务</t>
    </r>
  </si>
  <si>
    <t>22099</t>
  </si>
  <si>
    <r>
      <t xml:space="preserve">      </t>
    </r>
    <r>
      <rPr>
        <sz val="10"/>
        <rFont val="宋体"/>
        <charset val="134"/>
      </rPr>
      <t>其他自然资源海洋气象等支出</t>
    </r>
  </si>
  <si>
    <t>221</t>
  </si>
  <si>
    <r>
      <rPr>
        <b/>
        <sz val="10"/>
        <rFont val="宋体"/>
        <charset val="134"/>
      </rPr>
      <t>十九、住房保障支出</t>
    </r>
  </si>
  <si>
    <t>22101</t>
  </si>
  <si>
    <r>
      <t xml:space="preserve">      </t>
    </r>
    <r>
      <rPr>
        <sz val="10"/>
        <rFont val="宋体"/>
        <charset val="134"/>
      </rPr>
      <t>保障性安居工程支出</t>
    </r>
  </si>
  <si>
    <t>22102</t>
  </si>
  <si>
    <r>
      <t xml:space="preserve">      </t>
    </r>
    <r>
      <rPr>
        <sz val="10"/>
        <rFont val="宋体"/>
        <charset val="134"/>
      </rPr>
      <t>住房改革支出</t>
    </r>
  </si>
  <si>
    <t>22103</t>
  </si>
  <si>
    <r>
      <t xml:space="preserve">      </t>
    </r>
    <r>
      <rPr>
        <sz val="10"/>
        <rFont val="宋体"/>
        <charset val="134"/>
      </rPr>
      <t>城乡社区住宅</t>
    </r>
  </si>
  <si>
    <t>222</t>
  </si>
  <si>
    <r>
      <rPr>
        <b/>
        <sz val="10"/>
        <rFont val="宋体"/>
        <charset val="134"/>
      </rPr>
      <t>二十、粮油物资储备支出</t>
    </r>
  </si>
  <si>
    <t>22201</t>
  </si>
  <si>
    <r>
      <t xml:space="preserve">      </t>
    </r>
    <r>
      <rPr>
        <sz val="10"/>
        <rFont val="宋体"/>
        <charset val="134"/>
      </rPr>
      <t>粮油物资事务</t>
    </r>
  </si>
  <si>
    <t>22203</t>
  </si>
  <si>
    <r>
      <t xml:space="preserve">      </t>
    </r>
    <r>
      <rPr>
        <sz val="10"/>
        <rFont val="宋体"/>
        <charset val="134"/>
      </rPr>
      <t>能源储备</t>
    </r>
  </si>
  <si>
    <t>22204</t>
  </si>
  <si>
    <r>
      <t xml:space="preserve">      </t>
    </r>
    <r>
      <rPr>
        <sz val="10"/>
        <rFont val="宋体"/>
        <charset val="134"/>
      </rPr>
      <t>粮油储备</t>
    </r>
  </si>
  <si>
    <t>22205</t>
  </si>
  <si>
    <r>
      <t xml:space="preserve">      </t>
    </r>
    <r>
      <rPr>
        <sz val="10"/>
        <rFont val="宋体"/>
        <charset val="134"/>
      </rPr>
      <t>重要商品储备</t>
    </r>
  </si>
  <si>
    <t>224</t>
  </si>
  <si>
    <t>22401</t>
  </si>
  <si>
    <t>22402</t>
  </si>
  <si>
    <t>22404</t>
  </si>
  <si>
    <r>
      <t xml:space="preserve">      </t>
    </r>
    <r>
      <rPr>
        <sz val="10"/>
        <rFont val="宋体"/>
        <charset val="134"/>
      </rPr>
      <t>煤矿安全</t>
    </r>
  </si>
  <si>
    <t>22405</t>
  </si>
  <si>
    <t>22406</t>
  </si>
  <si>
    <t>22407</t>
  </si>
  <si>
    <t>22499</t>
  </si>
  <si>
    <t>227</t>
  </si>
  <si>
    <r>
      <rPr>
        <b/>
        <sz val="10"/>
        <rFont val="宋体"/>
        <charset val="134"/>
      </rPr>
      <t>二十二、预备费</t>
    </r>
  </si>
  <si>
    <t>229</t>
  </si>
  <si>
    <r>
      <rPr>
        <b/>
        <sz val="10"/>
        <rFont val="宋体"/>
        <charset val="134"/>
      </rPr>
      <t>二十三、其他支出</t>
    </r>
  </si>
  <si>
    <t>22902</t>
  </si>
  <si>
    <r>
      <t xml:space="preserve">        </t>
    </r>
    <r>
      <rPr>
        <sz val="10"/>
        <rFont val="宋体"/>
        <charset val="134"/>
      </rPr>
      <t>年初预留</t>
    </r>
  </si>
  <si>
    <t>22999</t>
  </si>
  <si>
    <r>
      <t xml:space="preserve">        </t>
    </r>
    <r>
      <rPr>
        <sz val="10"/>
        <rFont val="宋体"/>
        <charset val="134"/>
      </rPr>
      <t>其他支出</t>
    </r>
  </si>
  <si>
    <t>230</t>
  </si>
  <si>
    <r>
      <rPr>
        <b/>
        <sz val="10"/>
        <rFont val="宋体"/>
        <charset val="134"/>
      </rPr>
      <t>二十四、转移性支出</t>
    </r>
  </si>
  <si>
    <t>23006</t>
  </si>
  <si>
    <t>23009</t>
  </si>
  <si>
    <t>23015</t>
  </si>
  <si>
    <t>231</t>
  </si>
  <si>
    <r>
      <rPr>
        <b/>
        <sz val="10"/>
        <rFont val="宋体"/>
        <charset val="134"/>
      </rPr>
      <t>二十五、债务还本支出</t>
    </r>
  </si>
  <si>
    <t>23101</t>
  </si>
  <si>
    <r>
      <t xml:space="preserve">  </t>
    </r>
    <r>
      <rPr>
        <sz val="10"/>
        <rFont val="宋体"/>
        <charset val="134"/>
      </rPr>
      <t>中央政府国内债务还本支出</t>
    </r>
  </si>
  <si>
    <t>23102</t>
  </si>
  <si>
    <r>
      <t xml:space="preserve">  </t>
    </r>
    <r>
      <rPr>
        <sz val="10"/>
        <rFont val="宋体"/>
        <charset val="134"/>
      </rPr>
      <t>中央政府国外债务还本支出</t>
    </r>
  </si>
  <si>
    <t>23103</t>
  </si>
  <si>
    <r>
      <t xml:space="preserve">  </t>
    </r>
    <r>
      <rPr>
        <sz val="10"/>
        <rFont val="宋体"/>
        <charset val="134"/>
      </rPr>
      <t>地方政府一般债务还本支出</t>
    </r>
  </si>
  <si>
    <t>232</t>
  </si>
  <si>
    <r>
      <rPr>
        <b/>
        <sz val="10"/>
        <rFont val="宋体"/>
        <charset val="134"/>
      </rPr>
      <t>二十六、债务付息支出</t>
    </r>
  </si>
  <si>
    <t>23203</t>
  </si>
  <si>
    <r>
      <t xml:space="preserve">  </t>
    </r>
    <r>
      <rPr>
        <sz val="10"/>
        <rFont val="宋体"/>
        <charset val="134"/>
      </rPr>
      <t>地方政府一般债务付息支出</t>
    </r>
  </si>
  <si>
    <t>233</t>
  </si>
  <si>
    <r>
      <rPr>
        <b/>
        <sz val="10"/>
        <rFont val="宋体"/>
        <charset val="134"/>
      </rPr>
      <t>二十七、债务发行费用支出</t>
    </r>
  </si>
  <si>
    <t>23303</t>
  </si>
  <si>
    <r>
      <t xml:space="preserve">  </t>
    </r>
    <r>
      <rPr>
        <sz val="10"/>
        <rFont val="宋体"/>
        <charset val="134"/>
      </rPr>
      <t>地方政府一般债务发行费用支出</t>
    </r>
  </si>
  <si>
    <r>
      <rPr>
        <b/>
        <sz val="16"/>
        <rFont val="黑体"/>
        <family val="3"/>
        <charset val="134"/>
      </rPr>
      <t>表五、</t>
    </r>
    <r>
      <rPr>
        <b/>
        <sz val="16"/>
        <rFont val="Times New Roman"/>
        <family val="1"/>
        <charset val="0"/>
      </rPr>
      <t>2025</t>
    </r>
    <r>
      <rPr>
        <b/>
        <sz val="16"/>
        <rFont val="黑体"/>
        <family val="3"/>
        <charset val="134"/>
      </rPr>
      <t>年政府性基金预算收支执行明细表</t>
    </r>
  </si>
  <si>
    <r>
      <rPr>
        <sz val="12"/>
        <rFont val="宋体"/>
        <charset val="134"/>
      </rPr>
      <t>隐藏</t>
    </r>
  </si>
  <si>
    <r>
      <rPr>
        <b/>
        <sz val="9"/>
        <rFont val="宋体"/>
        <charset val="134"/>
      </rPr>
      <t>收入</t>
    </r>
  </si>
  <si>
    <r>
      <rPr>
        <b/>
        <sz val="9"/>
        <rFont val="宋体"/>
        <charset val="134"/>
      </rPr>
      <t>支出</t>
    </r>
  </si>
  <si>
    <r>
      <rPr>
        <b/>
        <sz val="9"/>
        <rFont val="宋体"/>
        <charset val="134"/>
      </rPr>
      <t>项目</t>
    </r>
  </si>
  <si>
    <r>
      <rPr>
        <b/>
        <sz val="9"/>
        <rFont val="宋体"/>
        <charset val="134"/>
      </rPr>
      <t>上年决算数</t>
    </r>
  </si>
  <si>
    <r>
      <rPr>
        <b/>
        <sz val="9"/>
        <rFont val="宋体"/>
        <charset val="134"/>
      </rPr>
      <t>预算数</t>
    </r>
  </si>
  <si>
    <r>
      <rPr>
        <b/>
        <sz val="9"/>
        <rFont val="宋体"/>
        <charset val="134"/>
      </rPr>
      <t>预算调整数</t>
    </r>
  </si>
  <si>
    <r>
      <rPr>
        <b/>
        <sz val="9"/>
        <rFont val="宋体"/>
        <charset val="134"/>
      </rPr>
      <t>预算执行数</t>
    </r>
  </si>
  <si>
    <r>
      <rPr>
        <b/>
        <sz val="9"/>
        <rFont val="宋体"/>
        <charset val="134"/>
      </rPr>
      <t>同比增长</t>
    </r>
    <r>
      <rPr>
        <b/>
        <sz val="9"/>
        <rFont val="Times New Roman"/>
        <family val="1"/>
        <charset val="0"/>
      </rPr>
      <t>%</t>
    </r>
  </si>
  <si>
    <r>
      <rPr>
        <b/>
        <sz val="9"/>
        <rFont val="宋体"/>
        <charset val="134"/>
      </rPr>
      <t>类</t>
    </r>
  </si>
  <si>
    <r>
      <rPr>
        <b/>
        <sz val="9"/>
        <rFont val="宋体"/>
        <charset val="134"/>
      </rPr>
      <t>款</t>
    </r>
  </si>
  <si>
    <r>
      <rPr>
        <b/>
        <sz val="9"/>
        <rFont val="宋体"/>
        <charset val="134"/>
      </rPr>
      <t>项</t>
    </r>
  </si>
  <si>
    <r>
      <rPr>
        <b/>
        <sz val="10"/>
        <rFont val="宋体"/>
        <charset val="134"/>
      </rPr>
      <t>一、政府性基金收入</t>
    </r>
  </si>
  <si>
    <r>
      <rPr>
        <b/>
        <sz val="10"/>
        <rFont val="宋体"/>
        <charset val="134"/>
      </rPr>
      <t>一、教育支出</t>
    </r>
  </si>
  <si>
    <r>
      <t xml:space="preserve">  </t>
    </r>
    <r>
      <rPr>
        <b/>
        <sz val="10"/>
        <rFont val="宋体"/>
        <charset val="134"/>
      </rPr>
      <t>农网还贷资金收入</t>
    </r>
  </si>
  <si>
    <t>98</t>
  </si>
  <si>
    <r>
      <t xml:space="preserve">  </t>
    </r>
    <r>
      <rPr>
        <b/>
        <sz val="10"/>
        <rFont val="宋体"/>
        <charset val="134"/>
      </rPr>
      <t>超长期特别国债安排的支出</t>
    </r>
  </si>
  <si>
    <r>
      <t xml:space="preserve">    </t>
    </r>
    <r>
      <rPr>
        <sz val="10"/>
        <rFont val="宋体"/>
        <charset val="134"/>
      </rPr>
      <t>中央农网还贷资金收入</t>
    </r>
    <r>
      <rPr>
        <sz val="10"/>
        <rFont val="Times New Roman"/>
        <family val="1"/>
        <charset val="0"/>
      </rPr>
      <t xml:space="preserve"> </t>
    </r>
  </si>
  <si>
    <t>01</t>
  </si>
  <si>
    <r>
      <t xml:space="preserve">    </t>
    </r>
    <r>
      <rPr>
        <sz val="10"/>
        <rFont val="宋体"/>
        <charset val="134"/>
      </rPr>
      <t>基础教育</t>
    </r>
  </si>
  <si>
    <r>
      <t xml:space="preserve">    </t>
    </r>
    <r>
      <rPr>
        <sz val="10"/>
        <color indexed="8"/>
        <rFont val="宋体"/>
        <charset val="134"/>
      </rPr>
      <t>地方农网还贷资金收入</t>
    </r>
    <r>
      <rPr>
        <sz val="10"/>
        <color indexed="8"/>
        <rFont val="Times New Roman"/>
        <family val="1"/>
        <charset val="0"/>
      </rPr>
      <t xml:space="preserve"> </t>
    </r>
  </si>
  <si>
    <t>02</t>
  </si>
  <si>
    <r>
      <t xml:space="preserve">    </t>
    </r>
    <r>
      <rPr>
        <sz val="10"/>
        <rFont val="宋体"/>
        <charset val="134"/>
      </rPr>
      <t>高等教育</t>
    </r>
  </si>
  <si>
    <r>
      <t xml:space="preserve">  </t>
    </r>
    <r>
      <rPr>
        <b/>
        <sz val="10"/>
        <rFont val="宋体"/>
        <charset val="134"/>
      </rPr>
      <t>铁路建设基金收入</t>
    </r>
  </si>
  <si>
    <t>03</t>
  </si>
  <si>
    <r>
      <t xml:space="preserve">  </t>
    </r>
    <r>
      <rPr>
        <b/>
        <sz val="10"/>
        <rFont val="宋体"/>
        <charset val="134"/>
      </rPr>
      <t>民航发展基金收入</t>
    </r>
  </si>
  <si>
    <t>04</t>
  </si>
  <si>
    <r>
      <t xml:space="preserve">  </t>
    </r>
    <r>
      <rPr>
        <b/>
        <sz val="10"/>
        <rFont val="宋体"/>
        <charset val="134"/>
      </rPr>
      <t>海南省高等级公路车辆通行附加费收入</t>
    </r>
  </si>
  <si>
    <t>99</t>
  </si>
  <si>
    <r>
      <t xml:space="preserve">  </t>
    </r>
    <r>
      <rPr>
        <b/>
        <sz val="10"/>
        <rFont val="宋体"/>
        <charset val="134"/>
      </rPr>
      <t>旅游发展基金收入</t>
    </r>
  </si>
  <si>
    <r>
      <rPr>
        <b/>
        <sz val="10"/>
        <rFont val="宋体"/>
        <charset val="134"/>
      </rPr>
      <t>二、科学技术支出</t>
    </r>
  </si>
  <si>
    <r>
      <t xml:space="preserve">  </t>
    </r>
    <r>
      <rPr>
        <b/>
        <sz val="10"/>
        <rFont val="宋体"/>
        <charset val="134"/>
      </rPr>
      <t>国家电影事业发展专项资金收入</t>
    </r>
  </si>
  <si>
    <t>10</t>
  </si>
  <si>
    <r>
      <t xml:space="preserve">  </t>
    </r>
    <r>
      <rPr>
        <b/>
        <sz val="10"/>
        <rFont val="宋体"/>
        <charset val="134"/>
      </rPr>
      <t>核电站乏燃料处理处置基金支出</t>
    </r>
  </si>
  <si>
    <r>
      <t xml:space="preserve">  </t>
    </r>
    <r>
      <rPr>
        <b/>
        <sz val="10"/>
        <rFont val="宋体"/>
        <charset val="134"/>
      </rPr>
      <t>国有土地收益基金收入</t>
    </r>
  </si>
  <si>
    <r>
      <t xml:space="preserve">    </t>
    </r>
    <r>
      <rPr>
        <sz val="10"/>
        <rFont val="宋体"/>
        <charset val="134"/>
      </rPr>
      <t>乏燃料运输</t>
    </r>
  </si>
  <si>
    <r>
      <t xml:space="preserve">  </t>
    </r>
    <r>
      <rPr>
        <b/>
        <sz val="10"/>
        <rFont val="宋体"/>
        <charset val="134"/>
      </rPr>
      <t>农业土地开发资金收入</t>
    </r>
  </si>
  <si>
    <r>
      <t xml:space="preserve">    </t>
    </r>
    <r>
      <rPr>
        <sz val="10"/>
        <rFont val="宋体"/>
        <charset val="134"/>
      </rPr>
      <t>乏燃料离堆贮存</t>
    </r>
  </si>
  <si>
    <r>
      <t xml:space="preserve">  </t>
    </r>
    <r>
      <rPr>
        <b/>
        <sz val="10"/>
        <rFont val="宋体"/>
        <charset val="134"/>
      </rPr>
      <t>国有土地使用权出让收入</t>
    </r>
  </si>
  <si>
    <r>
      <t xml:space="preserve">    </t>
    </r>
    <r>
      <rPr>
        <sz val="10"/>
        <rFont val="宋体"/>
        <charset val="134"/>
      </rPr>
      <t>乏燃料后处理</t>
    </r>
  </si>
  <si>
    <r>
      <t xml:space="preserve">    </t>
    </r>
    <r>
      <rPr>
        <sz val="10"/>
        <rFont val="宋体"/>
        <charset val="134"/>
      </rPr>
      <t>土地出让价款收入</t>
    </r>
  </si>
  <si>
    <r>
      <t xml:space="preserve">    </t>
    </r>
    <r>
      <rPr>
        <sz val="10"/>
        <rFont val="宋体"/>
        <charset val="134"/>
      </rPr>
      <t>高放废物的处理处置</t>
    </r>
  </si>
  <si>
    <r>
      <t xml:space="preserve">    </t>
    </r>
    <r>
      <rPr>
        <sz val="10"/>
        <rFont val="宋体"/>
        <charset val="134"/>
      </rPr>
      <t>补缴的土地价款</t>
    </r>
  </si>
  <si>
    <t>05</t>
  </si>
  <si>
    <r>
      <t xml:space="preserve">     </t>
    </r>
    <r>
      <rPr>
        <sz val="9"/>
        <rFont val="宋体"/>
        <charset val="134"/>
      </rPr>
      <t>乏燃料后处理厂的建设、运行、改造和退役</t>
    </r>
  </si>
  <si>
    <r>
      <t xml:space="preserve">    </t>
    </r>
    <r>
      <rPr>
        <sz val="10"/>
        <rFont val="宋体"/>
        <charset val="134"/>
      </rPr>
      <t>划拨土地收入</t>
    </r>
  </si>
  <si>
    <r>
      <t xml:space="preserve">     </t>
    </r>
    <r>
      <rPr>
        <sz val="9"/>
        <rFont val="宋体"/>
        <charset val="134"/>
      </rPr>
      <t>其他乏燃料处理处置基金支出</t>
    </r>
  </si>
  <si>
    <r>
      <t xml:space="preserve">    </t>
    </r>
    <r>
      <rPr>
        <sz val="10"/>
        <rFont val="宋体"/>
        <charset val="134"/>
      </rPr>
      <t>缴纳新增建设用地土地有偿使用费</t>
    </r>
  </si>
  <si>
    <r>
      <t xml:space="preserve">    </t>
    </r>
    <r>
      <rPr>
        <sz val="10"/>
        <rFont val="宋体"/>
        <charset val="134"/>
      </rPr>
      <t>其他土地出让收入</t>
    </r>
  </si>
  <si>
    <r>
      <t xml:space="preserve">  </t>
    </r>
    <r>
      <rPr>
        <b/>
        <sz val="10"/>
        <rFont val="宋体"/>
        <charset val="134"/>
      </rPr>
      <t>大中型水库移民后期扶持基金收入</t>
    </r>
  </si>
  <si>
    <r>
      <t xml:space="preserve">  </t>
    </r>
    <r>
      <rPr>
        <b/>
        <sz val="10"/>
        <rFont val="宋体"/>
        <charset val="134"/>
      </rPr>
      <t>大中型水库库区基金收入</t>
    </r>
  </si>
  <si>
    <r>
      <t xml:space="preserve">    </t>
    </r>
    <r>
      <rPr>
        <sz val="10"/>
        <rFont val="宋体"/>
        <charset val="134"/>
      </rPr>
      <t>中央大中型水库库区基金收入</t>
    </r>
  </si>
  <si>
    <r>
      <t xml:space="preserve">    </t>
    </r>
    <r>
      <rPr>
        <sz val="10"/>
        <rFont val="宋体"/>
        <charset val="134"/>
      </rPr>
      <t>地方大中型水库库区基金收入</t>
    </r>
  </si>
  <si>
    <r>
      <t xml:space="preserve">  </t>
    </r>
    <r>
      <rPr>
        <b/>
        <sz val="10"/>
        <rFont val="宋体"/>
        <charset val="134"/>
      </rPr>
      <t>三峡水库库区基金收入</t>
    </r>
  </si>
  <si>
    <r>
      <t xml:space="preserve">    </t>
    </r>
    <r>
      <rPr>
        <sz val="10"/>
        <rFont val="宋体"/>
        <charset val="134"/>
      </rPr>
      <t>其他科技支出</t>
    </r>
  </si>
  <si>
    <r>
      <t xml:space="preserve">  </t>
    </r>
    <r>
      <rPr>
        <b/>
        <sz val="10"/>
        <rFont val="宋体"/>
        <charset val="134"/>
      </rPr>
      <t>中央特别国债经营基金收入</t>
    </r>
  </si>
  <si>
    <r>
      <rPr>
        <b/>
        <sz val="10"/>
        <rFont val="宋体"/>
        <charset val="134"/>
      </rPr>
      <t>三、文化旅游体育与传媒支出</t>
    </r>
  </si>
  <si>
    <r>
      <t xml:space="preserve">  </t>
    </r>
    <r>
      <rPr>
        <b/>
        <sz val="10"/>
        <rFont val="宋体"/>
        <charset val="134"/>
      </rPr>
      <t>中央特别国债经营基金财务收入</t>
    </r>
  </si>
  <si>
    <t>07</t>
  </si>
  <si>
    <r>
      <t xml:space="preserve">  </t>
    </r>
    <r>
      <rPr>
        <b/>
        <sz val="10"/>
        <rFont val="宋体"/>
        <charset val="134"/>
      </rPr>
      <t>国家电影事业发展专项资金安排的支出</t>
    </r>
  </si>
  <si>
    <r>
      <t xml:space="preserve">  </t>
    </r>
    <r>
      <rPr>
        <b/>
        <sz val="10"/>
        <rFont val="宋体"/>
        <charset val="134"/>
      </rPr>
      <t>彩票公益金收入</t>
    </r>
  </si>
  <si>
    <r>
      <t xml:space="preserve">     </t>
    </r>
    <r>
      <rPr>
        <sz val="10"/>
        <rFont val="宋体"/>
        <charset val="134"/>
      </rPr>
      <t>资助国产影片放映</t>
    </r>
  </si>
  <si>
    <r>
      <t xml:space="preserve">    </t>
    </r>
    <r>
      <rPr>
        <sz val="10"/>
        <rFont val="宋体"/>
        <charset val="134"/>
      </rPr>
      <t>福利彩票公益金收入</t>
    </r>
  </si>
  <si>
    <r>
      <t xml:space="preserve">     </t>
    </r>
    <r>
      <rPr>
        <sz val="10"/>
        <rFont val="宋体"/>
        <charset val="134"/>
      </rPr>
      <t>资助影院建设</t>
    </r>
  </si>
  <si>
    <r>
      <t xml:space="preserve">    </t>
    </r>
    <r>
      <rPr>
        <sz val="10"/>
        <rFont val="宋体"/>
        <charset val="134"/>
      </rPr>
      <t>体育彩票公益金收入</t>
    </r>
  </si>
  <si>
    <r>
      <t xml:space="preserve">    </t>
    </r>
    <r>
      <rPr>
        <sz val="10"/>
        <rFont val="宋体"/>
        <charset val="134"/>
      </rPr>
      <t>资助少数民族语电影译制</t>
    </r>
  </si>
  <si>
    <r>
      <t xml:space="preserve">  </t>
    </r>
    <r>
      <rPr>
        <b/>
        <sz val="10"/>
        <rFont val="宋体"/>
        <charset val="134"/>
      </rPr>
      <t>城市基础设施配套费收入</t>
    </r>
  </si>
  <si>
    <r>
      <t xml:space="preserve">    </t>
    </r>
    <r>
      <rPr>
        <sz val="10"/>
        <rFont val="宋体"/>
        <charset val="134"/>
      </rPr>
      <t>购买农村电影公益性放映版权服务</t>
    </r>
  </si>
  <si>
    <r>
      <t xml:space="preserve">  </t>
    </r>
    <r>
      <rPr>
        <b/>
        <sz val="10"/>
        <rFont val="宋体"/>
        <charset val="134"/>
      </rPr>
      <t>小型水库移民扶助基金收入</t>
    </r>
  </si>
  <si>
    <r>
      <t xml:space="preserve">    </t>
    </r>
    <r>
      <rPr>
        <sz val="10"/>
        <rFont val="宋体"/>
        <charset val="134"/>
      </rPr>
      <t>其他国家电影事业发展专项资金支出</t>
    </r>
  </si>
  <si>
    <r>
      <t xml:space="preserve">  </t>
    </r>
    <r>
      <rPr>
        <b/>
        <sz val="10"/>
        <rFont val="宋体"/>
        <charset val="134"/>
      </rPr>
      <t>国家重大水利工程建设基金收入</t>
    </r>
  </si>
  <si>
    <t>09</t>
  </si>
  <si>
    <r>
      <t xml:space="preserve">  </t>
    </r>
    <r>
      <rPr>
        <b/>
        <sz val="10"/>
        <rFont val="宋体"/>
        <charset val="134"/>
      </rPr>
      <t>旅游发展基金支出</t>
    </r>
  </si>
  <si>
    <r>
      <t xml:space="preserve">    </t>
    </r>
    <r>
      <rPr>
        <sz val="10"/>
        <rFont val="宋体"/>
        <charset val="134"/>
      </rPr>
      <t>中央重大水利工程建设资金</t>
    </r>
  </si>
  <si>
    <r>
      <t xml:space="preserve">    </t>
    </r>
    <r>
      <rPr>
        <sz val="10"/>
        <rFont val="宋体"/>
        <charset val="134"/>
      </rPr>
      <t>宣传促销</t>
    </r>
  </si>
  <si>
    <r>
      <t xml:space="preserve">    </t>
    </r>
    <r>
      <rPr>
        <sz val="10"/>
        <rFont val="宋体"/>
        <charset val="134"/>
      </rPr>
      <t>地方重大水利工程建设资金</t>
    </r>
  </si>
  <si>
    <r>
      <t xml:space="preserve">    </t>
    </r>
    <r>
      <rPr>
        <sz val="10"/>
        <rFont val="宋体"/>
        <charset val="134"/>
      </rPr>
      <t>行业规划</t>
    </r>
  </si>
  <si>
    <r>
      <t xml:space="preserve">  </t>
    </r>
    <r>
      <rPr>
        <b/>
        <sz val="10"/>
        <rFont val="宋体"/>
        <charset val="134"/>
      </rPr>
      <t>车辆通行费</t>
    </r>
  </si>
  <si>
    <r>
      <t xml:space="preserve">    </t>
    </r>
    <r>
      <rPr>
        <sz val="10"/>
        <rFont val="宋体"/>
        <charset val="134"/>
      </rPr>
      <t>旅游事业补助</t>
    </r>
  </si>
  <si>
    <r>
      <t xml:space="preserve">  </t>
    </r>
    <r>
      <rPr>
        <b/>
        <sz val="10"/>
        <rFont val="宋体"/>
        <charset val="134"/>
      </rPr>
      <t>核电站乏燃料处理处置基金收入</t>
    </r>
  </si>
  <si>
    <r>
      <t xml:space="preserve">    </t>
    </r>
    <r>
      <rPr>
        <sz val="10"/>
        <rFont val="宋体"/>
        <charset val="134"/>
      </rPr>
      <t>地方旅游开发项目补助</t>
    </r>
  </si>
  <si>
    <r>
      <t xml:space="preserve">  </t>
    </r>
    <r>
      <rPr>
        <b/>
        <sz val="10"/>
        <rFont val="宋体"/>
        <charset val="134"/>
      </rPr>
      <t>可再生能源电价附加收入</t>
    </r>
  </si>
  <si>
    <r>
      <t xml:space="preserve">    </t>
    </r>
    <r>
      <rPr>
        <sz val="10"/>
        <rFont val="宋体"/>
        <charset val="134"/>
      </rPr>
      <t>其他旅游发展基金支出</t>
    </r>
  </si>
  <si>
    <r>
      <t xml:space="preserve">  </t>
    </r>
    <r>
      <rPr>
        <b/>
        <sz val="10"/>
        <rFont val="宋体"/>
        <charset val="134"/>
      </rPr>
      <t>船舶油污损害赔偿基金收入</t>
    </r>
  </si>
  <si>
    <r>
      <t xml:space="preserve">  </t>
    </r>
    <r>
      <rPr>
        <b/>
        <sz val="10"/>
        <rFont val="宋体"/>
        <charset val="134"/>
      </rPr>
      <t>国家电影事业发展专项资金对应专项债务收入安排的支出</t>
    </r>
  </si>
  <si>
    <r>
      <t xml:space="preserve">  </t>
    </r>
    <r>
      <rPr>
        <b/>
        <sz val="10"/>
        <rFont val="宋体"/>
        <charset val="134"/>
      </rPr>
      <t>废弃电器电子产品处理基金收入</t>
    </r>
  </si>
  <si>
    <r>
      <t xml:space="preserve">    </t>
    </r>
    <r>
      <rPr>
        <sz val="10"/>
        <rFont val="宋体"/>
        <charset val="134"/>
      </rPr>
      <t>资助城市影院</t>
    </r>
  </si>
  <si>
    <r>
      <t xml:space="preserve">    </t>
    </r>
    <r>
      <rPr>
        <sz val="10"/>
        <rFont val="宋体"/>
        <charset val="134"/>
      </rPr>
      <t>税务部门征收的废弃电器电子产品处理基金收入</t>
    </r>
  </si>
  <si>
    <r>
      <t xml:space="preserve">    </t>
    </r>
    <r>
      <rPr>
        <sz val="10"/>
        <rFont val="宋体"/>
        <charset val="134"/>
      </rPr>
      <t>其他国家电影事业发展专项资金对应专项债务收入支出</t>
    </r>
  </si>
  <si>
    <r>
      <t xml:space="preserve">    </t>
    </r>
    <r>
      <rPr>
        <sz val="10"/>
        <rFont val="宋体"/>
        <charset val="134"/>
      </rPr>
      <t>海关征收的废弃电器电子产品处理基金收入</t>
    </r>
  </si>
  <si>
    <r>
      <t xml:space="preserve">  </t>
    </r>
    <r>
      <rPr>
        <b/>
        <sz val="10"/>
        <rFont val="宋体"/>
        <charset val="134"/>
      </rPr>
      <t>污水处理费收入</t>
    </r>
  </si>
  <si>
    <r>
      <t xml:space="preserve">  </t>
    </r>
    <r>
      <rPr>
        <b/>
        <sz val="10"/>
        <rFont val="宋体"/>
        <charset val="134"/>
      </rPr>
      <t>彩票发售机构和彩票销售机构的业务费用</t>
    </r>
  </si>
  <si>
    <r>
      <t xml:space="preserve">    </t>
    </r>
    <r>
      <rPr>
        <sz val="10"/>
        <rFont val="宋体"/>
        <charset val="134"/>
      </rPr>
      <t>福利彩票发行机构的业务费用</t>
    </r>
  </si>
  <si>
    <r>
      <t xml:space="preserve">    </t>
    </r>
    <r>
      <rPr>
        <sz val="10"/>
        <rFont val="宋体"/>
        <charset val="134"/>
      </rPr>
      <t>体育彩票发行机构的业务费用</t>
    </r>
  </si>
  <si>
    <r>
      <t xml:space="preserve">    </t>
    </r>
    <r>
      <rPr>
        <sz val="10"/>
        <rFont val="宋体"/>
        <charset val="134"/>
      </rPr>
      <t>福利彩票销售机构的业务费用</t>
    </r>
  </si>
  <si>
    <r>
      <t xml:space="preserve">    </t>
    </r>
    <r>
      <rPr>
        <sz val="10"/>
        <rFont val="宋体"/>
        <charset val="134"/>
      </rPr>
      <t>体育彩票销售机构的业务费用</t>
    </r>
  </si>
  <si>
    <r>
      <t xml:space="preserve">    </t>
    </r>
    <r>
      <rPr>
        <sz val="10"/>
        <rFont val="宋体"/>
        <charset val="134"/>
      </rPr>
      <t>其他文化旅游体育传媒</t>
    </r>
  </si>
  <si>
    <r>
      <t xml:space="preserve">    </t>
    </r>
    <r>
      <rPr>
        <sz val="10"/>
        <rFont val="宋体"/>
        <charset val="134"/>
      </rPr>
      <t>彩票兑奖周转金</t>
    </r>
  </si>
  <si>
    <r>
      <rPr>
        <b/>
        <sz val="10"/>
        <rFont val="宋体"/>
        <charset val="134"/>
      </rPr>
      <t>四、社会保障和就业支出</t>
    </r>
  </si>
  <si>
    <r>
      <t xml:space="preserve">    </t>
    </r>
    <r>
      <rPr>
        <sz val="10"/>
        <rFont val="宋体"/>
        <charset val="134"/>
      </rPr>
      <t>彩票发行销售风险基金</t>
    </r>
  </si>
  <si>
    <r>
      <t xml:space="preserve">    </t>
    </r>
    <r>
      <rPr>
        <sz val="10"/>
        <rFont val="宋体"/>
        <charset val="134"/>
      </rPr>
      <t>彩票市场调控资金收入</t>
    </r>
  </si>
  <si>
    <r>
      <t xml:space="preserve">    </t>
    </r>
    <r>
      <rPr>
        <sz val="10"/>
        <rFont val="宋体"/>
        <charset val="134"/>
      </rPr>
      <t>养老机构及服务设施</t>
    </r>
  </si>
  <si>
    <r>
      <t xml:space="preserve">  </t>
    </r>
    <r>
      <rPr>
        <b/>
        <sz val="10"/>
        <rFont val="宋体"/>
        <charset val="134"/>
      </rPr>
      <t>抗疫特别国债财务基金收入</t>
    </r>
  </si>
  <si>
    <r>
      <t xml:space="preserve">    </t>
    </r>
    <r>
      <rPr>
        <sz val="10"/>
        <rFont val="宋体"/>
        <charset val="134"/>
      </rPr>
      <t>公共就业服务设施</t>
    </r>
  </si>
  <si>
    <r>
      <t xml:space="preserve">  </t>
    </r>
    <r>
      <rPr>
        <b/>
        <sz val="10"/>
        <rFont val="宋体"/>
        <charset val="134"/>
      </rPr>
      <t>耕地保护考核奖惩基金收入</t>
    </r>
  </si>
  <si>
    <r>
      <t xml:space="preserve">  </t>
    </r>
    <r>
      <rPr>
        <b/>
        <sz val="10"/>
        <rFont val="宋体"/>
        <charset val="134"/>
      </rPr>
      <t>超长期特别国债财务基金收入</t>
    </r>
  </si>
  <si>
    <r>
      <rPr>
        <b/>
        <sz val="10"/>
        <rFont val="宋体"/>
        <charset val="134"/>
      </rPr>
      <t>五、卫生健康支出</t>
    </r>
  </si>
  <si>
    <r>
      <t xml:space="preserve">  </t>
    </r>
    <r>
      <rPr>
        <b/>
        <sz val="10"/>
        <rFont val="宋体"/>
        <charset val="134"/>
      </rPr>
      <t>其他政府性基金收入</t>
    </r>
  </si>
  <si>
    <r>
      <rPr>
        <b/>
        <sz val="10"/>
        <rFont val="宋体"/>
        <charset val="134"/>
      </rPr>
      <t>二、专项债务对应项目专项收入</t>
    </r>
  </si>
  <si>
    <r>
      <t xml:space="preserve">  </t>
    </r>
    <r>
      <rPr>
        <b/>
        <sz val="10"/>
        <rFont val="宋体"/>
        <charset val="134"/>
      </rPr>
      <t>海南省高等级公路车辆通行附加费专项债务对应项目专项收入</t>
    </r>
  </si>
  <si>
    <r>
      <t xml:space="preserve">  </t>
    </r>
    <r>
      <rPr>
        <b/>
        <sz val="10"/>
        <rFont val="宋体"/>
        <charset val="134"/>
      </rPr>
      <t>国家电影事业发展专项资金专项债务对应项目专项收入</t>
    </r>
  </si>
  <si>
    <r>
      <t xml:space="preserve">    </t>
    </r>
    <r>
      <rPr>
        <sz val="10"/>
        <rFont val="宋体"/>
        <charset val="134"/>
      </rPr>
      <t>公共卫生机构</t>
    </r>
  </si>
  <si>
    <r>
      <t xml:space="preserve">  </t>
    </r>
    <r>
      <rPr>
        <b/>
        <sz val="10"/>
        <rFont val="宋体"/>
        <charset val="134"/>
      </rPr>
      <t>国有土地使用权出让金专项债务对应项目专项收入</t>
    </r>
  </si>
  <si>
    <r>
      <t xml:space="preserve">    </t>
    </r>
    <r>
      <rPr>
        <sz val="10"/>
        <rFont val="宋体"/>
        <charset val="134"/>
      </rPr>
      <t>托育机构</t>
    </r>
  </si>
  <si>
    <r>
      <t xml:space="preserve">    </t>
    </r>
    <r>
      <rPr>
        <sz val="10"/>
        <rFont val="宋体"/>
        <charset val="134"/>
      </rPr>
      <t>土地储备专项债券对应项目专项收入</t>
    </r>
  </si>
  <si>
    <r>
      <t xml:space="preserve">    </t>
    </r>
    <r>
      <rPr>
        <sz val="10"/>
        <rFont val="宋体"/>
        <charset val="134"/>
      </rPr>
      <t>其他健康卫生支出</t>
    </r>
  </si>
  <si>
    <r>
      <t xml:space="preserve">    </t>
    </r>
    <r>
      <rPr>
        <sz val="10"/>
        <rFont val="宋体"/>
        <charset val="134"/>
      </rPr>
      <t>棚户区改造专项债券对应项目专项收入</t>
    </r>
  </si>
  <si>
    <r>
      <rPr>
        <b/>
        <sz val="10"/>
        <rFont val="宋体"/>
        <charset val="134"/>
      </rPr>
      <t>六、节能环保支出</t>
    </r>
  </si>
  <si>
    <r>
      <t xml:space="preserve">    </t>
    </r>
    <r>
      <rPr>
        <sz val="10"/>
        <rFont val="宋体"/>
        <charset val="134"/>
      </rPr>
      <t>其他国有土地使用权出让金专项债券对应项目专项收入</t>
    </r>
  </si>
  <si>
    <t>60</t>
  </si>
  <si>
    <r>
      <t xml:space="preserve">  </t>
    </r>
    <r>
      <rPr>
        <b/>
        <sz val="10"/>
        <rFont val="宋体"/>
        <charset val="134"/>
      </rPr>
      <t>可再生能源电价附加收入安排的支出</t>
    </r>
  </si>
  <si>
    <r>
      <t xml:space="preserve">  </t>
    </r>
    <r>
      <rPr>
        <b/>
        <sz val="10"/>
        <rFont val="宋体"/>
        <charset val="134"/>
      </rPr>
      <t>农业土地开发资金专项债务对应项目专项收入</t>
    </r>
  </si>
  <si>
    <r>
      <t xml:space="preserve">      </t>
    </r>
    <r>
      <rPr>
        <sz val="10"/>
        <rFont val="宋体"/>
        <charset val="134"/>
      </rPr>
      <t>风力发电补助</t>
    </r>
  </si>
  <si>
    <r>
      <t xml:space="preserve">  </t>
    </r>
    <r>
      <rPr>
        <b/>
        <sz val="10"/>
        <rFont val="宋体"/>
        <charset val="134"/>
      </rPr>
      <t>大中型水库库区基金专项债务对应项目专项收入</t>
    </r>
  </si>
  <si>
    <r>
      <t xml:space="preserve">      </t>
    </r>
    <r>
      <rPr>
        <sz val="10"/>
        <rFont val="宋体"/>
        <charset val="134"/>
      </rPr>
      <t>太阳能发电补助</t>
    </r>
  </si>
  <si>
    <r>
      <t xml:space="preserve">  </t>
    </r>
    <r>
      <rPr>
        <b/>
        <sz val="10"/>
        <rFont val="宋体"/>
        <charset val="134"/>
      </rPr>
      <t>城市基础设施配套费专项债务对应项目专项收入</t>
    </r>
  </si>
  <si>
    <r>
      <t xml:space="preserve">      </t>
    </r>
    <r>
      <rPr>
        <sz val="10"/>
        <rFont val="宋体"/>
        <charset val="134"/>
      </rPr>
      <t>生物质能发电补助</t>
    </r>
  </si>
  <si>
    <r>
      <t xml:space="preserve">  </t>
    </r>
    <r>
      <rPr>
        <b/>
        <sz val="10"/>
        <rFont val="宋体"/>
        <charset val="134"/>
      </rPr>
      <t>小型水库移民扶助基金专项债务对应项目专项收入</t>
    </r>
  </si>
  <si>
    <r>
      <t xml:space="preserve">      </t>
    </r>
    <r>
      <rPr>
        <sz val="10"/>
        <rFont val="宋体"/>
        <charset val="134"/>
      </rPr>
      <t>其他可再生能源电价附加收入安排的支出</t>
    </r>
  </si>
  <si>
    <r>
      <t xml:space="preserve">  </t>
    </r>
    <r>
      <rPr>
        <b/>
        <sz val="10"/>
        <rFont val="宋体"/>
        <charset val="134"/>
      </rPr>
      <t>国家重大水利工程建设基金专项债务对应项目专项收入</t>
    </r>
  </si>
  <si>
    <r>
      <t xml:space="preserve">  </t>
    </r>
    <r>
      <rPr>
        <b/>
        <sz val="10"/>
        <rFont val="宋体"/>
        <charset val="134"/>
      </rPr>
      <t>车辆通行费专项债务对应项目专项收入</t>
    </r>
  </si>
  <si>
    <r>
      <t xml:space="preserve">    </t>
    </r>
    <r>
      <rPr>
        <sz val="10"/>
        <rFont val="宋体"/>
        <charset val="134"/>
      </rPr>
      <t>水污染综合治理</t>
    </r>
  </si>
  <si>
    <r>
      <t xml:space="preserve">    </t>
    </r>
    <r>
      <rPr>
        <sz val="10"/>
        <rFont val="宋体"/>
        <charset val="134"/>
      </rPr>
      <t>政府收费公路专项债券对应项目专项收入</t>
    </r>
  </si>
  <si>
    <r>
      <t xml:space="preserve">    </t>
    </r>
    <r>
      <rPr>
        <sz val="10"/>
        <rFont val="宋体"/>
        <charset val="134"/>
      </rPr>
      <t>应对气候变化</t>
    </r>
  </si>
  <si>
    <r>
      <t xml:space="preserve">    </t>
    </r>
    <r>
      <rPr>
        <sz val="10"/>
        <rFont val="宋体"/>
        <charset val="134"/>
      </rPr>
      <t>其他车辆通行费专项债务对应项目专项收入</t>
    </r>
  </si>
  <si>
    <r>
      <t xml:space="preserve">    “</t>
    </r>
    <r>
      <rPr>
        <sz val="10"/>
        <rFont val="宋体"/>
        <charset val="134"/>
      </rPr>
      <t>三北</t>
    </r>
    <r>
      <rPr>
        <sz val="10"/>
        <rFont val="Times New Roman"/>
        <family val="1"/>
        <charset val="0"/>
      </rPr>
      <t>”</t>
    </r>
    <r>
      <rPr>
        <sz val="10"/>
        <rFont val="宋体"/>
        <charset val="134"/>
      </rPr>
      <t>工程建设</t>
    </r>
  </si>
  <si>
    <r>
      <t xml:space="preserve">  </t>
    </r>
    <r>
      <rPr>
        <b/>
        <sz val="10"/>
        <rFont val="宋体"/>
        <charset val="134"/>
      </rPr>
      <t>污水处理费专项债务对应项目专项收入</t>
    </r>
  </si>
  <si>
    <r>
      <t xml:space="preserve">  </t>
    </r>
    <r>
      <rPr>
        <b/>
        <sz val="10"/>
        <rFont val="宋体"/>
        <charset val="134"/>
      </rPr>
      <t>其他政府性基金专项债务对应项目专项收入</t>
    </r>
  </si>
  <si>
    <r>
      <rPr>
        <b/>
        <sz val="10"/>
        <rFont val="宋体"/>
        <charset val="134"/>
      </rPr>
      <t>七、城乡社区支出</t>
    </r>
  </si>
  <si>
    <r>
      <t xml:space="preserve">    </t>
    </r>
    <r>
      <rPr>
        <sz val="10"/>
        <rFont val="宋体"/>
        <charset val="134"/>
      </rPr>
      <t>其他地方自行试点项目收益专项债券对应项目专项收入</t>
    </r>
  </si>
  <si>
    <t>08</t>
  </si>
  <si>
    <r>
      <t xml:space="preserve">  </t>
    </r>
    <r>
      <rPr>
        <b/>
        <sz val="10"/>
        <rFont val="宋体"/>
        <charset val="134"/>
      </rPr>
      <t>国有土地使用权出让收入安排的支出</t>
    </r>
  </si>
  <si>
    <r>
      <t xml:space="preserve">    </t>
    </r>
    <r>
      <rPr>
        <sz val="10"/>
        <rFont val="宋体"/>
        <charset val="134"/>
      </rPr>
      <t>其他政府性基金专项债务对应项目专项收入</t>
    </r>
  </si>
  <si>
    <r>
      <t xml:space="preserve">    </t>
    </r>
    <r>
      <rPr>
        <sz val="10"/>
        <rFont val="宋体"/>
        <charset val="134"/>
      </rPr>
      <t>征地和拆迁补偿支出</t>
    </r>
  </si>
  <si>
    <r>
      <t xml:space="preserve">    </t>
    </r>
    <r>
      <rPr>
        <sz val="10"/>
        <rFont val="宋体"/>
        <charset val="134"/>
      </rPr>
      <t>土地开发支出</t>
    </r>
  </si>
  <si>
    <r>
      <t xml:space="preserve">    </t>
    </r>
    <r>
      <rPr>
        <sz val="10"/>
        <rFont val="宋体"/>
        <charset val="134"/>
      </rPr>
      <t>城市建设支出</t>
    </r>
  </si>
  <si>
    <r>
      <t xml:space="preserve">    </t>
    </r>
    <r>
      <rPr>
        <sz val="10"/>
        <rFont val="宋体"/>
        <charset val="134"/>
      </rPr>
      <t>农村基础设施建设支出</t>
    </r>
  </si>
  <si>
    <r>
      <t xml:space="preserve">    </t>
    </r>
    <r>
      <rPr>
        <sz val="10"/>
        <rFont val="宋体"/>
        <charset val="134"/>
      </rPr>
      <t>补助被征地农民支出</t>
    </r>
  </si>
  <si>
    <t>06</t>
  </si>
  <si>
    <r>
      <t xml:space="preserve">    </t>
    </r>
    <r>
      <rPr>
        <sz val="10"/>
        <rFont val="宋体"/>
        <charset val="134"/>
      </rPr>
      <t>土地出让业务支出</t>
    </r>
  </si>
  <si>
    <r>
      <t xml:space="preserve">    </t>
    </r>
    <r>
      <rPr>
        <sz val="10"/>
        <rFont val="宋体"/>
        <charset val="134"/>
      </rPr>
      <t>廉租住房支出</t>
    </r>
  </si>
  <si>
    <r>
      <t xml:space="preserve">    </t>
    </r>
    <r>
      <rPr>
        <sz val="10"/>
        <rFont val="宋体"/>
        <charset val="134"/>
      </rPr>
      <t>支付破产或改制企业职工安置费</t>
    </r>
  </si>
  <si>
    <r>
      <t xml:space="preserve">    </t>
    </r>
    <r>
      <rPr>
        <sz val="10"/>
        <rFont val="宋体"/>
        <charset val="134"/>
      </rPr>
      <t>棚户区改造支出</t>
    </r>
  </si>
  <si>
    <t>11</t>
  </si>
  <si>
    <r>
      <t xml:space="preserve">    </t>
    </r>
    <r>
      <rPr>
        <sz val="10"/>
        <rFont val="宋体"/>
        <charset val="134"/>
      </rPr>
      <t>公共租赁住房支出</t>
    </r>
  </si>
  <si>
    <t>13</t>
  </si>
  <si>
    <r>
      <t xml:space="preserve">    </t>
    </r>
    <r>
      <rPr>
        <sz val="10"/>
        <rFont val="宋体"/>
        <charset val="134"/>
      </rPr>
      <t>保障性住房租金补贴</t>
    </r>
  </si>
  <si>
    <t>14</t>
  </si>
  <si>
    <r>
      <t xml:space="preserve">    </t>
    </r>
    <r>
      <rPr>
        <sz val="10"/>
        <rFont val="宋体"/>
        <charset val="134"/>
      </rPr>
      <t>农业生产发展支出</t>
    </r>
  </si>
  <si>
    <t>15</t>
  </si>
  <si>
    <r>
      <t xml:space="preserve">    </t>
    </r>
    <r>
      <rPr>
        <sz val="10"/>
        <rFont val="宋体"/>
        <charset val="134"/>
      </rPr>
      <t>农村社会事业支出</t>
    </r>
  </si>
  <si>
    <t>16</t>
  </si>
  <si>
    <r>
      <t xml:space="preserve">    </t>
    </r>
    <r>
      <rPr>
        <sz val="10"/>
        <rFont val="宋体"/>
        <charset val="134"/>
      </rPr>
      <t>农业农村生态环境支出</t>
    </r>
  </si>
  <si>
    <r>
      <t xml:space="preserve">    </t>
    </r>
    <r>
      <rPr>
        <sz val="10"/>
        <rFont val="宋体"/>
        <charset val="134"/>
      </rPr>
      <t>其他国有土地使用权出让收入安排的支出</t>
    </r>
  </si>
  <si>
    <r>
      <t xml:space="preserve">  </t>
    </r>
    <r>
      <rPr>
        <b/>
        <sz val="10"/>
        <rFont val="宋体"/>
        <charset val="134"/>
      </rPr>
      <t>国有土地收益基金安排的支出</t>
    </r>
  </si>
  <si>
    <r>
      <t xml:space="preserve">    </t>
    </r>
    <r>
      <rPr>
        <sz val="9"/>
        <rFont val="宋体"/>
        <charset val="134"/>
      </rPr>
      <t>征地和拆迁补偿支出</t>
    </r>
  </si>
  <si>
    <r>
      <t xml:space="preserve">    </t>
    </r>
    <r>
      <rPr>
        <sz val="9"/>
        <rFont val="宋体"/>
        <charset val="134"/>
      </rPr>
      <t>土地开发支出</t>
    </r>
  </si>
  <si>
    <r>
      <t xml:space="preserve">    </t>
    </r>
    <r>
      <rPr>
        <sz val="9"/>
        <rFont val="宋体"/>
        <charset val="134"/>
      </rPr>
      <t>其他国有土地收益基金支出</t>
    </r>
  </si>
  <si>
    <r>
      <t xml:space="preserve">  </t>
    </r>
    <r>
      <rPr>
        <b/>
        <sz val="10"/>
        <rFont val="宋体"/>
        <charset val="134"/>
      </rPr>
      <t>农业土地开发资金安排的支出</t>
    </r>
  </si>
  <si>
    <r>
      <t xml:space="preserve">  </t>
    </r>
    <r>
      <rPr>
        <b/>
        <sz val="10"/>
        <rFont val="宋体"/>
        <charset val="134"/>
      </rPr>
      <t>城市基础设施配套费安排的支出</t>
    </r>
  </si>
  <si>
    <r>
      <t xml:space="preserve">    </t>
    </r>
    <r>
      <rPr>
        <sz val="10"/>
        <rFont val="宋体"/>
        <charset val="134"/>
      </rPr>
      <t>城市公共设施</t>
    </r>
  </si>
  <si>
    <r>
      <t xml:space="preserve">    </t>
    </r>
    <r>
      <rPr>
        <sz val="10"/>
        <rFont val="宋体"/>
        <charset val="134"/>
      </rPr>
      <t>城市环境卫生</t>
    </r>
  </si>
  <si>
    <r>
      <t xml:space="preserve">    </t>
    </r>
    <r>
      <rPr>
        <sz val="10"/>
        <rFont val="宋体"/>
        <charset val="134"/>
      </rPr>
      <t>公有房屋</t>
    </r>
  </si>
  <si>
    <r>
      <t xml:space="preserve">    </t>
    </r>
    <r>
      <rPr>
        <sz val="10"/>
        <rFont val="宋体"/>
        <charset val="134"/>
      </rPr>
      <t>城市防洪</t>
    </r>
  </si>
  <si>
    <r>
      <t xml:space="preserve">    </t>
    </r>
    <r>
      <rPr>
        <sz val="10"/>
        <rFont val="宋体"/>
        <charset val="134"/>
      </rPr>
      <t>其他城市基础设施配套费安排的支出</t>
    </r>
  </si>
  <si>
    <r>
      <t xml:space="preserve">  </t>
    </r>
    <r>
      <rPr>
        <b/>
        <sz val="10"/>
        <rFont val="宋体"/>
        <charset val="134"/>
      </rPr>
      <t>污水处理费安排的支出</t>
    </r>
  </si>
  <si>
    <r>
      <t xml:space="preserve">    </t>
    </r>
    <r>
      <rPr>
        <sz val="10"/>
        <rFont val="宋体"/>
        <charset val="134"/>
      </rPr>
      <t>污水处理设施建设和运营</t>
    </r>
  </si>
  <si>
    <r>
      <t xml:space="preserve">    </t>
    </r>
    <r>
      <rPr>
        <sz val="10"/>
        <rFont val="宋体"/>
        <charset val="134"/>
      </rPr>
      <t>代征手续费</t>
    </r>
  </si>
  <si>
    <r>
      <t xml:space="preserve">    </t>
    </r>
    <r>
      <rPr>
        <sz val="10"/>
        <rFont val="宋体"/>
        <charset val="134"/>
      </rPr>
      <t>其他污水处理费安排的支出</t>
    </r>
  </si>
  <si>
    <r>
      <t xml:space="preserve">  </t>
    </r>
    <r>
      <rPr>
        <b/>
        <sz val="10"/>
        <rFont val="宋体"/>
        <charset val="134"/>
      </rPr>
      <t>土地储备专项债券收入安排的支出</t>
    </r>
  </si>
  <si>
    <r>
      <t xml:space="preserve">    </t>
    </r>
    <r>
      <rPr>
        <sz val="10"/>
        <rFont val="宋体"/>
        <charset val="134"/>
      </rPr>
      <t>其他土地储备专项债券收入安排的支出</t>
    </r>
  </si>
  <si>
    <r>
      <t xml:space="preserve">  </t>
    </r>
    <r>
      <rPr>
        <b/>
        <sz val="10"/>
        <rFont val="宋体"/>
        <charset val="134"/>
      </rPr>
      <t>棚户区改造专项债券收入安排的支出</t>
    </r>
  </si>
  <si>
    <r>
      <t xml:space="preserve">    </t>
    </r>
    <r>
      <rPr>
        <sz val="10"/>
        <rFont val="宋体"/>
        <charset val="134"/>
      </rPr>
      <t>其他棚户区改造专项债券收入安排的支出</t>
    </r>
  </si>
  <si>
    <t>17</t>
  </si>
  <si>
    <r>
      <t xml:space="preserve">  </t>
    </r>
    <r>
      <rPr>
        <b/>
        <sz val="10"/>
        <rFont val="宋体"/>
        <charset val="134"/>
      </rPr>
      <t>城市基础设施配套费对应专项债务收入安排的支出</t>
    </r>
  </si>
  <si>
    <r>
      <t xml:space="preserve">    </t>
    </r>
    <r>
      <rPr>
        <sz val="10"/>
        <rFont val="宋体"/>
        <charset val="134"/>
      </rPr>
      <t>其他城市基础设施配套费对应专项债务收入安排的支出</t>
    </r>
  </si>
  <si>
    <t>18</t>
  </si>
  <si>
    <r>
      <t xml:space="preserve">  </t>
    </r>
    <r>
      <rPr>
        <b/>
        <sz val="10"/>
        <rFont val="宋体"/>
        <charset val="134"/>
      </rPr>
      <t>污水处理费对应专项债务收入安排的支出</t>
    </r>
  </si>
  <si>
    <r>
      <t xml:space="preserve">    </t>
    </r>
    <r>
      <rPr>
        <sz val="10"/>
        <rFont val="宋体"/>
        <charset val="134"/>
      </rPr>
      <t>其他污水处理费对应专项债务收入安排的支出</t>
    </r>
  </si>
  <si>
    <t>19</t>
  </si>
  <si>
    <r>
      <t xml:space="preserve">  </t>
    </r>
    <r>
      <rPr>
        <b/>
        <sz val="10"/>
        <rFont val="宋体"/>
        <charset val="134"/>
      </rPr>
      <t>国有土地使用权出让收入对应专项债务收入安排的支出</t>
    </r>
  </si>
  <si>
    <r>
      <t xml:space="preserve">    </t>
    </r>
    <r>
      <rPr>
        <sz val="10"/>
        <rFont val="宋体"/>
        <charset val="134"/>
      </rPr>
      <t>其他国有土地使用权出让收入对应专项债务收入安排的支出</t>
    </r>
  </si>
  <si>
    <r>
      <t xml:space="preserve">    </t>
    </r>
    <r>
      <rPr>
        <sz val="10"/>
        <rFont val="宋体"/>
        <charset val="134"/>
      </rPr>
      <t>城乡社区公共设施</t>
    </r>
  </si>
  <si>
    <r>
      <t xml:space="preserve">    </t>
    </r>
    <r>
      <rPr>
        <sz val="10"/>
        <rFont val="宋体"/>
        <charset val="134"/>
      </rPr>
      <t>其他城乡社区支出</t>
    </r>
  </si>
  <si>
    <r>
      <rPr>
        <b/>
        <sz val="10"/>
        <rFont val="宋体"/>
        <charset val="134"/>
      </rPr>
      <t>八、农林水支出</t>
    </r>
  </si>
  <si>
    <t>66</t>
  </si>
  <si>
    <r>
      <t xml:space="preserve">  </t>
    </r>
    <r>
      <rPr>
        <b/>
        <sz val="10"/>
        <rFont val="宋体"/>
        <charset val="134"/>
      </rPr>
      <t>大中型水库库区基金安排的支出</t>
    </r>
  </si>
  <si>
    <r>
      <t xml:space="preserve">    </t>
    </r>
    <r>
      <rPr>
        <sz val="10"/>
        <rFont val="宋体"/>
        <charset val="134"/>
      </rPr>
      <t>基础设施建设和经济发展</t>
    </r>
  </si>
  <si>
    <r>
      <t xml:space="preserve">    </t>
    </r>
    <r>
      <rPr>
        <sz val="10"/>
        <rFont val="宋体"/>
        <charset val="134"/>
      </rPr>
      <t>解决移民遗留问题</t>
    </r>
  </si>
  <si>
    <r>
      <t xml:space="preserve">    </t>
    </r>
    <r>
      <rPr>
        <sz val="10"/>
        <rFont val="宋体"/>
        <charset val="134"/>
      </rPr>
      <t>库区防护工程维护</t>
    </r>
  </si>
  <si>
    <r>
      <t xml:space="preserve">    </t>
    </r>
    <r>
      <rPr>
        <sz val="10"/>
        <rFont val="宋体"/>
        <charset val="134"/>
      </rPr>
      <t>其他大中型水库库区基金支出</t>
    </r>
  </si>
  <si>
    <t>67</t>
  </si>
  <si>
    <r>
      <t xml:space="preserve">  </t>
    </r>
    <r>
      <rPr>
        <b/>
        <sz val="10"/>
        <rFont val="宋体"/>
        <charset val="134"/>
      </rPr>
      <t>三峡水库库区基金支出</t>
    </r>
  </si>
  <si>
    <r>
      <t xml:space="preserve">    </t>
    </r>
    <r>
      <rPr>
        <sz val="10"/>
        <rFont val="宋体"/>
        <charset val="134"/>
      </rPr>
      <t>库区维护和管理</t>
    </r>
  </si>
  <si>
    <r>
      <t xml:space="preserve">    </t>
    </r>
    <r>
      <rPr>
        <sz val="10"/>
        <rFont val="宋体"/>
        <charset val="134"/>
      </rPr>
      <t>其他三峡水库库区基金支出</t>
    </r>
  </si>
  <si>
    <t>69</t>
  </si>
  <si>
    <r>
      <t xml:space="preserve">  </t>
    </r>
    <r>
      <rPr>
        <b/>
        <sz val="10"/>
        <rFont val="宋体"/>
        <charset val="134"/>
      </rPr>
      <t>国家重大水利工程建设基金安排的支出</t>
    </r>
  </si>
  <si>
    <r>
      <t xml:space="preserve">    </t>
    </r>
    <r>
      <rPr>
        <sz val="10"/>
        <rFont val="宋体"/>
        <charset val="134"/>
      </rPr>
      <t>南水北调工程建设</t>
    </r>
  </si>
  <si>
    <r>
      <t xml:space="preserve">    </t>
    </r>
    <r>
      <rPr>
        <sz val="10"/>
        <rFont val="宋体"/>
        <charset val="134"/>
      </rPr>
      <t>三峡后续工作</t>
    </r>
  </si>
  <si>
    <r>
      <t xml:space="preserve">    </t>
    </r>
    <r>
      <rPr>
        <sz val="10"/>
        <rFont val="宋体"/>
        <charset val="134"/>
      </rPr>
      <t>地方重大水利工程建设</t>
    </r>
  </si>
  <si>
    <r>
      <t xml:space="preserve">    </t>
    </r>
    <r>
      <rPr>
        <sz val="10"/>
        <rFont val="宋体"/>
        <charset val="134"/>
      </rPr>
      <t>其他重大水利工程建设基金支出</t>
    </r>
  </si>
  <si>
    <t>70</t>
  </si>
  <si>
    <r>
      <t xml:space="preserve">  </t>
    </r>
    <r>
      <rPr>
        <b/>
        <sz val="10"/>
        <rFont val="宋体"/>
        <charset val="134"/>
      </rPr>
      <t>大中型水库库区基金对应专项债务收入安排的支出</t>
    </r>
  </si>
  <si>
    <r>
      <t xml:space="preserve">    </t>
    </r>
    <r>
      <rPr>
        <sz val="10"/>
        <rFont val="宋体"/>
        <charset val="134"/>
      </rPr>
      <t>其他大中型水库库区基金对应专项债务收入支出</t>
    </r>
  </si>
  <si>
    <t>71</t>
  </si>
  <si>
    <r>
      <t xml:space="preserve">  </t>
    </r>
    <r>
      <rPr>
        <b/>
        <sz val="10"/>
        <rFont val="宋体"/>
        <charset val="134"/>
      </rPr>
      <t>国家重大水利工程建设基金对应专项债务收入安排的支出</t>
    </r>
  </si>
  <si>
    <r>
      <t xml:space="preserve">    </t>
    </r>
    <r>
      <rPr>
        <sz val="10"/>
        <rFont val="宋体"/>
        <charset val="134"/>
      </rPr>
      <t>三峡工程后续工作</t>
    </r>
  </si>
  <si>
    <r>
      <t xml:space="preserve">    </t>
    </r>
    <r>
      <rPr>
        <sz val="10"/>
        <rFont val="宋体"/>
        <charset val="134"/>
      </rPr>
      <t>其他重大水利工程建设基金对应专项债务收入支出</t>
    </r>
  </si>
  <si>
    <t>72</t>
  </si>
  <si>
    <r>
      <t xml:space="preserve">  </t>
    </r>
    <r>
      <rPr>
        <b/>
        <sz val="10"/>
        <rFont val="宋体"/>
        <charset val="134"/>
      </rPr>
      <t>大中型水库移民后期扶持基金支出</t>
    </r>
  </si>
  <si>
    <r>
      <t xml:space="preserve">    </t>
    </r>
    <r>
      <rPr>
        <sz val="10"/>
        <rFont val="宋体"/>
        <charset val="134"/>
      </rPr>
      <t>移民补助</t>
    </r>
  </si>
  <si>
    <r>
      <t xml:space="preserve">    </t>
    </r>
    <r>
      <rPr>
        <sz val="10"/>
        <rFont val="宋体"/>
        <charset val="134"/>
      </rPr>
      <t>其他大中型水利移民后期扶持基金支出</t>
    </r>
  </si>
  <si>
    <t>73</t>
  </si>
  <si>
    <r>
      <t xml:space="preserve">  </t>
    </r>
    <r>
      <rPr>
        <b/>
        <sz val="10"/>
        <rFont val="宋体"/>
        <charset val="134"/>
      </rPr>
      <t>小型水库移民扶助基金安排的支出</t>
    </r>
  </si>
  <si>
    <r>
      <t xml:space="preserve">    </t>
    </r>
    <r>
      <rPr>
        <sz val="10"/>
        <rFont val="宋体"/>
        <charset val="134"/>
      </rPr>
      <t>其他小型水库移民扶助基金安排的支出</t>
    </r>
  </si>
  <si>
    <t>74</t>
  </si>
  <si>
    <r>
      <t xml:space="preserve">  </t>
    </r>
    <r>
      <rPr>
        <b/>
        <sz val="10"/>
        <rFont val="宋体"/>
        <charset val="134"/>
      </rPr>
      <t>小型水库移民扶助基金对应专项债务安排的支出</t>
    </r>
  </si>
  <si>
    <r>
      <t xml:space="preserve">    </t>
    </r>
    <r>
      <rPr>
        <sz val="10"/>
        <rFont val="宋体"/>
        <charset val="134"/>
      </rPr>
      <t>其他小型水库移民扶助基金对应专项债务安排的支出</t>
    </r>
  </si>
  <si>
    <r>
      <t xml:space="preserve">    </t>
    </r>
    <r>
      <rPr>
        <sz val="10"/>
        <rFont val="宋体"/>
        <charset val="134"/>
      </rPr>
      <t>农业农村支出</t>
    </r>
  </si>
  <si>
    <r>
      <t xml:space="preserve">    </t>
    </r>
    <r>
      <rPr>
        <sz val="10"/>
        <rFont val="宋体"/>
        <charset val="134"/>
      </rPr>
      <t>水利支出</t>
    </r>
  </si>
  <si>
    <r>
      <t xml:space="preserve">    </t>
    </r>
    <r>
      <rPr>
        <sz val="10"/>
        <rFont val="宋体"/>
        <charset val="134"/>
      </rPr>
      <t>其他农林水支出</t>
    </r>
  </si>
  <si>
    <r>
      <rPr>
        <b/>
        <sz val="10"/>
        <rFont val="宋体"/>
        <charset val="134"/>
      </rPr>
      <t>九、交通运输支出</t>
    </r>
  </si>
  <si>
    <r>
      <t xml:space="preserve">  </t>
    </r>
    <r>
      <rPr>
        <b/>
        <sz val="10"/>
        <rFont val="宋体"/>
        <charset val="134"/>
      </rPr>
      <t>海南省高等级公路车辆通行附加费安排的支出</t>
    </r>
  </si>
  <si>
    <r>
      <t xml:space="preserve">    </t>
    </r>
    <r>
      <rPr>
        <sz val="10"/>
        <rFont val="宋体"/>
        <charset val="134"/>
      </rPr>
      <t>公路建设</t>
    </r>
  </si>
  <si>
    <r>
      <t xml:space="preserve">    </t>
    </r>
    <r>
      <rPr>
        <sz val="10"/>
        <rFont val="宋体"/>
        <charset val="134"/>
      </rPr>
      <t>公路养护</t>
    </r>
  </si>
  <si>
    <r>
      <t xml:space="preserve">    </t>
    </r>
    <r>
      <rPr>
        <sz val="10"/>
        <rFont val="宋体"/>
        <charset val="134"/>
      </rPr>
      <t>公路还贷</t>
    </r>
  </si>
  <si>
    <r>
      <t xml:space="preserve">    </t>
    </r>
    <r>
      <rPr>
        <sz val="10"/>
        <rFont val="宋体"/>
        <charset val="134"/>
      </rPr>
      <t>其他海南省高等级公路车辆通行附加费安排的支出</t>
    </r>
  </si>
  <si>
    <t>62</t>
  </si>
  <si>
    <r>
      <t xml:space="preserve">  </t>
    </r>
    <r>
      <rPr>
        <b/>
        <sz val="10"/>
        <rFont val="宋体"/>
        <charset val="134"/>
      </rPr>
      <t>车辆通行费安排的支出</t>
    </r>
  </si>
  <si>
    <r>
      <t xml:space="preserve">    </t>
    </r>
    <r>
      <rPr>
        <sz val="10"/>
        <rFont val="宋体"/>
        <charset val="134"/>
      </rPr>
      <t>政府还贷公路养护</t>
    </r>
  </si>
  <si>
    <r>
      <t xml:space="preserve">    </t>
    </r>
    <r>
      <rPr>
        <sz val="10"/>
        <rFont val="宋体"/>
        <charset val="134"/>
      </rPr>
      <t>政府还贷公路管理</t>
    </r>
  </si>
  <si>
    <r>
      <t xml:space="preserve">    </t>
    </r>
    <r>
      <rPr>
        <sz val="10"/>
        <rFont val="宋体"/>
        <charset val="134"/>
      </rPr>
      <t>其他车辆通行费安排的支出</t>
    </r>
  </si>
  <si>
    <t>64</t>
  </si>
  <si>
    <r>
      <t xml:space="preserve">  </t>
    </r>
    <r>
      <rPr>
        <b/>
        <sz val="10"/>
        <rFont val="宋体"/>
        <charset val="134"/>
      </rPr>
      <t>铁路建设基金支出</t>
    </r>
  </si>
  <si>
    <r>
      <t xml:space="preserve">    </t>
    </r>
    <r>
      <rPr>
        <sz val="10"/>
        <rFont val="宋体"/>
        <charset val="134"/>
      </rPr>
      <t>铁路建设投资</t>
    </r>
  </si>
  <si>
    <r>
      <t xml:space="preserve">    </t>
    </r>
    <r>
      <rPr>
        <sz val="10"/>
        <rFont val="宋体"/>
        <charset val="134"/>
      </rPr>
      <t>购置铁路机车车辆</t>
    </r>
  </si>
  <si>
    <r>
      <t xml:space="preserve">    </t>
    </r>
    <r>
      <rPr>
        <sz val="10"/>
        <rFont val="宋体"/>
        <charset val="134"/>
      </rPr>
      <t>铁路还贷</t>
    </r>
  </si>
  <si>
    <r>
      <t xml:space="preserve">    </t>
    </r>
    <r>
      <rPr>
        <sz val="10"/>
        <rFont val="宋体"/>
        <charset val="134"/>
      </rPr>
      <t>建设项目铺底资金</t>
    </r>
  </si>
  <si>
    <r>
      <t xml:space="preserve">    </t>
    </r>
    <r>
      <rPr>
        <sz val="10"/>
        <rFont val="宋体"/>
        <charset val="134"/>
      </rPr>
      <t>勘测设计</t>
    </r>
  </si>
  <si>
    <r>
      <t xml:space="preserve">    </t>
    </r>
    <r>
      <rPr>
        <sz val="10"/>
        <rFont val="宋体"/>
        <charset val="134"/>
      </rPr>
      <t>注册资本金</t>
    </r>
  </si>
  <si>
    <r>
      <t xml:space="preserve">    </t>
    </r>
    <r>
      <rPr>
        <sz val="10"/>
        <rFont val="宋体"/>
        <charset val="134"/>
      </rPr>
      <t>周转资金</t>
    </r>
  </si>
  <si>
    <r>
      <t xml:space="preserve">    </t>
    </r>
    <r>
      <rPr>
        <sz val="10"/>
        <rFont val="宋体"/>
        <charset val="134"/>
      </rPr>
      <t>其他铁路建设基金支出</t>
    </r>
  </si>
  <si>
    <t>68</t>
  </si>
  <si>
    <r>
      <t xml:space="preserve">  </t>
    </r>
    <r>
      <rPr>
        <b/>
        <sz val="10"/>
        <rFont val="宋体"/>
        <charset val="134"/>
      </rPr>
      <t>船舶油污损害赔偿基金支出</t>
    </r>
  </si>
  <si>
    <r>
      <t xml:space="preserve">    </t>
    </r>
    <r>
      <rPr>
        <sz val="10"/>
        <rFont val="宋体"/>
        <charset val="134"/>
      </rPr>
      <t>应急处置费用</t>
    </r>
  </si>
  <si>
    <r>
      <t xml:space="preserve">    </t>
    </r>
    <r>
      <rPr>
        <sz val="10"/>
        <rFont val="宋体"/>
        <charset val="134"/>
      </rPr>
      <t>控制清除污染</t>
    </r>
  </si>
  <si>
    <r>
      <t xml:space="preserve">    </t>
    </r>
    <r>
      <rPr>
        <sz val="10"/>
        <rFont val="宋体"/>
        <charset val="134"/>
      </rPr>
      <t>损失补偿</t>
    </r>
  </si>
  <si>
    <r>
      <t xml:space="preserve">    </t>
    </r>
    <r>
      <rPr>
        <sz val="10"/>
        <rFont val="宋体"/>
        <charset val="134"/>
      </rPr>
      <t>生态恢复</t>
    </r>
  </si>
  <si>
    <r>
      <t xml:space="preserve">    </t>
    </r>
    <r>
      <rPr>
        <sz val="10"/>
        <rFont val="宋体"/>
        <charset val="134"/>
      </rPr>
      <t>监视监测</t>
    </r>
  </si>
  <si>
    <r>
      <t xml:space="preserve">    </t>
    </r>
    <r>
      <rPr>
        <sz val="10"/>
        <rFont val="宋体"/>
        <charset val="134"/>
      </rPr>
      <t>其他船舶油污损害赔偿基金支出</t>
    </r>
  </si>
  <si>
    <r>
      <t xml:space="preserve">  </t>
    </r>
    <r>
      <rPr>
        <b/>
        <sz val="10"/>
        <rFont val="宋体"/>
        <charset val="134"/>
      </rPr>
      <t>民航发展基金支出</t>
    </r>
  </si>
  <si>
    <r>
      <t xml:space="preserve">    </t>
    </r>
    <r>
      <rPr>
        <sz val="10"/>
        <rFont val="宋体"/>
        <charset val="134"/>
      </rPr>
      <t>民航机场建设</t>
    </r>
  </si>
  <si>
    <r>
      <t xml:space="preserve">    </t>
    </r>
    <r>
      <rPr>
        <sz val="10"/>
        <rFont val="宋体"/>
        <charset val="134"/>
      </rPr>
      <t>空管系统建设</t>
    </r>
  </si>
  <si>
    <r>
      <t xml:space="preserve">    </t>
    </r>
    <r>
      <rPr>
        <sz val="10"/>
        <rFont val="宋体"/>
        <charset val="134"/>
      </rPr>
      <t>民航安全</t>
    </r>
  </si>
  <si>
    <r>
      <t xml:space="preserve">    </t>
    </r>
    <r>
      <rPr>
        <sz val="10"/>
        <rFont val="宋体"/>
        <charset val="134"/>
      </rPr>
      <t>航线和机场补贴</t>
    </r>
  </si>
  <si>
    <r>
      <t xml:space="preserve">    </t>
    </r>
    <r>
      <rPr>
        <sz val="10"/>
        <rFont val="宋体"/>
        <charset val="134"/>
      </rPr>
      <t>民航节能减排</t>
    </r>
  </si>
  <si>
    <r>
      <t xml:space="preserve">    </t>
    </r>
    <r>
      <rPr>
        <sz val="10"/>
        <rFont val="宋体"/>
        <charset val="134"/>
      </rPr>
      <t>通用放空发展</t>
    </r>
  </si>
  <si>
    <r>
      <t xml:space="preserve">    </t>
    </r>
    <r>
      <rPr>
        <sz val="10"/>
        <rFont val="宋体"/>
        <charset val="134"/>
      </rPr>
      <t>征管经费</t>
    </r>
  </si>
  <si>
    <r>
      <t xml:space="preserve">    </t>
    </r>
    <r>
      <rPr>
        <sz val="10"/>
        <rFont val="宋体"/>
        <charset val="134"/>
      </rPr>
      <t>民航科教和信息建设</t>
    </r>
  </si>
  <si>
    <r>
      <t xml:space="preserve">    </t>
    </r>
    <r>
      <rPr>
        <sz val="10"/>
        <rFont val="宋体"/>
        <charset val="134"/>
      </rPr>
      <t>其他民航发展基金支出</t>
    </r>
  </si>
  <si>
    <r>
      <t xml:space="preserve">  </t>
    </r>
    <r>
      <rPr>
        <b/>
        <sz val="10"/>
        <rFont val="宋体"/>
        <charset val="134"/>
      </rPr>
      <t>海南省高等级公路车辆通行附加费对应专项债务收入安排的支出</t>
    </r>
  </si>
  <si>
    <r>
      <t xml:space="preserve">    </t>
    </r>
    <r>
      <rPr>
        <sz val="10"/>
        <rFont val="宋体"/>
        <charset val="134"/>
      </rPr>
      <t>其他海南省高等级公路车辆通行附加费对应专项债务收入安排的支出</t>
    </r>
  </si>
  <si>
    <r>
      <t xml:space="preserve">  </t>
    </r>
    <r>
      <rPr>
        <b/>
        <sz val="10"/>
        <rFont val="宋体"/>
        <charset val="134"/>
      </rPr>
      <t>政府收费公路专项债券收入安排的支出</t>
    </r>
  </si>
  <si>
    <r>
      <t xml:space="preserve">    </t>
    </r>
    <r>
      <rPr>
        <sz val="10"/>
        <rFont val="宋体"/>
        <charset val="134"/>
      </rPr>
      <t>其他政府收费公路专项债券收入安排的支出</t>
    </r>
  </si>
  <si>
    <r>
      <t xml:space="preserve">  </t>
    </r>
    <r>
      <rPr>
        <b/>
        <sz val="10"/>
        <rFont val="宋体"/>
        <charset val="134"/>
      </rPr>
      <t>车辆通行费对应专项债务收入安排的支出</t>
    </r>
  </si>
  <si>
    <r>
      <t xml:space="preserve">    </t>
    </r>
    <r>
      <rPr>
        <sz val="10"/>
        <rFont val="宋体"/>
        <charset val="134"/>
      </rPr>
      <t>公路水路运输</t>
    </r>
  </si>
  <si>
    <r>
      <t xml:space="preserve">    </t>
    </r>
    <r>
      <rPr>
        <sz val="10"/>
        <rFont val="宋体"/>
        <charset val="134"/>
      </rPr>
      <t>铁路运输</t>
    </r>
  </si>
  <si>
    <r>
      <t xml:space="preserve">    </t>
    </r>
    <r>
      <rPr>
        <sz val="10"/>
        <rFont val="宋体"/>
        <charset val="134"/>
      </rPr>
      <t>民用航空运输</t>
    </r>
  </si>
  <si>
    <r>
      <t xml:space="preserve">    </t>
    </r>
    <r>
      <rPr>
        <sz val="10"/>
        <rFont val="宋体"/>
        <charset val="134"/>
      </rPr>
      <t>邮政业支出</t>
    </r>
  </si>
  <si>
    <r>
      <t xml:space="preserve">    </t>
    </r>
    <r>
      <rPr>
        <sz val="10"/>
        <rFont val="宋体"/>
        <charset val="134"/>
      </rPr>
      <t>其他交通运输支出</t>
    </r>
  </si>
  <si>
    <r>
      <rPr>
        <b/>
        <sz val="10"/>
        <rFont val="宋体"/>
        <charset val="134"/>
      </rPr>
      <t>十、资源勘探工业信息等支出</t>
    </r>
  </si>
  <si>
    <r>
      <t xml:space="preserve">  </t>
    </r>
    <r>
      <rPr>
        <b/>
        <sz val="10"/>
        <rFont val="宋体"/>
        <charset val="134"/>
      </rPr>
      <t>农网还贷资金支出</t>
    </r>
  </si>
  <si>
    <r>
      <t xml:space="preserve">    </t>
    </r>
    <r>
      <rPr>
        <sz val="10"/>
        <rFont val="宋体"/>
        <charset val="134"/>
      </rPr>
      <t>中央农网还贷资金支出</t>
    </r>
  </si>
  <si>
    <r>
      <t xml:space="preserve">    </t>
    </r>
    <r>
      <rPr>
        <sz val="10"/>
        <rFont val="宋体"/>
        <charset val="134"/>
      </rPr>
      <t>地方农网还贷资金支出</t>
    </r>
  </si>
  <si>
    <r>
      <t xml:space="preserve">    </t>
    </r>
    <r>
      <rPr>
        <sz val="10"/>
        <rFont val="宋体"/>
        <charset val="134"/>
      </rPr>
      <t>其他农网还贷资金支出</t>
    </r>
  </si>
  <si>
    <r>
      <t xml:space="preserve">    </t>
    </r>
    <r>
      <rPr>
        <sz val="10"/>
        <rFont val="宋体"/>
        <charset val="134"/>
      </rPr>
      <t>资源勘探开发</t>
    </r>
  </si>
  <si>
    <r>
      <t xml:space="preserve">    </t>
    </r>
    <r>
      <rPr>
        <sz val="10"/>
        <rFont val="宋体"/>
        <charset val="134"/>
      </rPr>
      <t>制造业</t>
    </r>
  </si>
  <si>
    <r>
      <t xml:space="preserve">    </t>
    </r>
    <r>
      <rPr>
        <sz val="10"/>
        <rFont val="宋体"/>
        <charset val="134"/>
      </rPr>
      <t>工业和信息产业</t>
    </r>
  </si>
  <si>
    <r>
      <t xml:space="preserve">    </t>
    </r>
    <r>
      <rPr>
        <sz val="10"/>
        <rFont val="宋体"/>
        <charset val="134"/>
      </rPr>
      <t>其他资源勘探工业信息等支出</t>
    </r>
  </si>
  <si>
    <r>
      <rPr>
        <b/>
        <sz val="10"/>
        <rFont val="宋体"/>
        <charset val="134"/>
      </rPr>
      <t>十一、金融支出</t>
    </r>
  </si>
  <si>
    <r>
      <t xml:space="preserve">  </t>
    </r>
    <r>
      <rPr>
        <b/>
        <sz val="10"/>
        <rFont val="宋体"/>
        <charset val="134"/>
      </rPr>
      <t>金融调控支出</t>
    </r>
  </si>
  <si>
    <r>
      <t xml:space="preserve">    </t>
    </r>
    <r>
      <rPr>
        <sz val="10"/>
        <rFont val="宋体"/>
        <charset val="134"/>
      </rPr>
      <t>中央特别国债经营基金支出</t>
    </r>
  </si>
  <si>
    <r>
      <t xml:space="preserve">    </t>
    </r>
    <r>
      <rPr>
        <sz val="10"/>
        <rFont val="宋体"/>
        <charset val="134"/>
      </rPr>
      <t>中央特别国债经营基金财务支出</t>
    </r>
  </si>
  <si>
    <r>
      <rPr>
        <b/>
        <sz val="10"/>
        <rFont val="宋体"/>
        <charset val="134"/>
      </rPr>
      <t>十二、自然资源海洋气象等支出</t>
    </r>
  </si>
  <si>
    <r>
      <t xml:space="preserve">  </t>
    </r>
    <r>
      <rPr>
        <b/>
        <sz val="10"/>
        <rFont val="宋体"/>
        <charset val="134"/>
      </rPr>
      <t>耕地保护考核奖惩基金支出</t>
    </r>
  </si>
  <si>
    <r>
      <t xml:space="preserve">    </t>
    </r>
    <r>
      <rPr>
        <sz val="10"/>
        <rFont val="宋体"/>
        <charset val="134"/>
      </rPr>
      <t>耕地保护</t>
    </r>
  </si>
  <si>
    <r>
      <t xml:space="preserve">    </t>
    </r>
    <r>
      <rPr>
        <sz val="10"/>
        <rFont val="宋体"/>
        <charset val="134"/>
      </rPr>
      <t>补充耕地</t>
    </r>
  </si>
  <si>
    <r>
      <rPr>
        <b/>
        <sz val="10"/>
        <rFont val="宋体"/>
        <charset val="134"/>
      </rPr>
      <t>十三、住房保障支出</t>
    </r>
  </si>
  <si>
    <r>
      <t xml:space="preserve">    </t>
    </r>
    <r>
      <rPr>
        <sz val="10"/>
        <rFont val="宋体"/>
        <charset val="134"/>
      </rPr>
      <t>保障性租赁住房</t>
    </r>
  </si>
  <si>
    <r>
      <t xml:space="preserve">    </t>
    </r>
    <r>
      <rPr>
        <sz val="10"/>
        <rFont val="宋体"/>
        <charset val="134"/>
      </rPr>
      <t>其他住房保障支出</t>
    </r>
  </si>
  <si>
    <r>
      <rPr>
        <b/>
        <sz val="10"/>
        <rFont val="宋体"/>
        <charset val="134"/>
      </rPr>
      <t>十四、粮油物资储备支出</t>
    </r>
  </si>
  <si>
    <r>
      <t xml:space="preserve">    </t>
    </r>
    <r>
      <rPr>
        <sz val="10"/>
        <rFont val="宋体"/>
        <charset val="134"/>
      </rPr>
      <t>设施建设</t>
    </r>
  </si>
  <si>
    <r>
      <t xml:space="preserve">    </t>
    </r>
    <r>
      <rPr>
        <sz val="10"/>
        <rFont val="宋体"/>
        <charset val="134"/>
      </rPr>
      <t>其他粮油物资储备支出</t>
    </r>
  </si>
  <si>
    <r>
      <rPr>
        <b/>
        <sz val="10"/>
        <rFont val="宋体"/>
        <charset val="134"/>
      </rPr>
      <t>十五、灾害防治及应急管理支出</t>
    </r>
  </si>
  <si>
    <r>
      <t xml:space="preserve">    </t>
    </r>
    <r>
      <rPr>
        <sz val="10"/>
        <rFont val="宋体"/>
        <charset val="134"/>
      </rPr>
      <t>自然灾害防治</t>
    </r>
  </si>
  <si>
    <r>
      <t xml:space="preserve">    </t>
    </r>
    <r>
      <rPr>
        <sz val="10"/>
        <rFont val="宋体"/>
        <charset val="134"/>
      </rPr>
      <t>自然灾害恢复重建支出</t>
    </r>
  </si>
  <si>
    <r>
      <t xml:space="preserve">    </t>
    </r>
    <r>
      <rPr>
        <sz val="10"/>
        <rFont val="宋体"/>
        <charset val="134"/>
      </rPr>
      <t>其他灾害防治及应急管理支出</t>
    </r>
  </si>
  <si>
    <r>
      <rPr>
        <b/>
        <sz val="10"/>
        <rFont val="宋体"/>
        <charset val="134"/>
      </rPr>
      <t>十六、其他支出</t>
    </r>
  </si>
  <si>
    <r>
      <t xml:space="preserve">  </t>
    </r>
    <r>
      <rPr>
        <b/>
        <sz val="10"/>
        <rFont val="宋体"/>
        <charset val="134"/>
      </rPr>
      <t>其他政府性基金及对应专项债务收入安排的支出</t>
    </r>
  </si>
  <si>
    <r>
      <t xml:space="preserve">    </t>
    </r>
    <r>
      <rPr>
        <sz val="10"/>
        <rFont val="宋体"/>
        <charset val="134"/>
      </rPr>
      <t>其他政府性基金安排的支出</t>
    </r>
  </si>
  <si>
    <r>
      <t xml:space="preserve">    </t>
    </r>
    <r>
      <rPr>
        <sz val="10"/>
        <rFont val="宋体"/>
        <charset val="134"/>
      </rPr>
      <t>其他地方自行试点项目收益专项债券收入安排的支出</t>
    </r>
  </si>
  <si>
    <r>
      <t xml:space="preserve">    </t>
    </r>
    <r>
      <rPr>
        <sz val="10"/>
        <rFont val="宋体"/>
        <charset val="134"/>
      </rPr>
      <t>其他政府性基金债务收入安排的支出</t>
    </r>
  </si>
  <si>
    <r>
      <t xml:space="preserve">  </t>
    </r>
    <r>
      <rPr>
        <b/>
        <sz val="10"/>
        <rFont val="宋体"/>
        <charset val="134"/>
      </rPr>
      <t>彩票发行销售机构业务费安排的支出</t>
    </r>
  </si>
  <si>
    <r>
      <t xml:space="preserve">    </t>
    </r>
    <r>
      <rPr>
        <sz val="10"/>
        <rFont val="宋体"/>
        <charset val="134"/>
      </rPr>
      <t>福利彩票发行机构的业务费支出</t>
    </r>
  </si>
  <si>
    <r>
      <t xml:space="preserve">    </t>
    </r>
    <r>
      <rPr>
        <sz val="10"/>
        <rFont val="宋体"/>
        <charset val="134"/>
      </rPr>
      <t>体育彩票发行机构的业务费支出</t>
    </r>
  </si>
  <si>
    <r>
      <t xml:space="preserve">    </t>
    </r>
    <r>
      <rPr>
        <sz val="10"/>
        <rFont val="宋体"/>
        <charset val="134"/>
      </rPr>
      <t>福利彩票销售机构的业务费支出</t>
    </r>
  </si>
  <si>
    <r>
      <t xml:space="preserve">    </t>
    </r>
    <r>
      <rPr>
        <sz val="10"/>
        <rFont val="宋体"/>
        <charset val="134"/>
      </rPr>
      <t>体育彩票销售机构的业务费支出</t>
    </r>
  </si>
  <si>
    <r>
      <t xml:space="preserve">    </t>
    </r>
    <r>
      <rPr>
        <sz val="10"/>
        <rFont val="宋体"/>
        <charset val="134"/>
      </rPr>
      <t>彩票兑奖周转金支出</t>
    </r>
  </si>
  <si>
    <r>
      <t xml:space="preserve">    </t>
    </r>
    <r>
      <rPr>
        <sz val="10"/>
        <rFont val="宋体"/>
        <charset val="134"/>
      </rPr>
      <t>彩票发行销售风险基金支出</t>
    </r>
  </si>
  <si>
    <r>
      <t xml:space="preserve">    </t>
    </r>
    <r>
      <rPr>
        <sz val="10"/>
        <rFont val="宋体"/>
        <charset val="134"/>
      </rPr>
      <t>彩票市场调控资金支出</t>
    </r>
  </si>
  <si>
    <r>
      <t xml:space="preserve">    </t>
    </r>
    <r>
      <rPr>
        <sz val="10"/>
        <rFont val="宋体"/>
        <charset val="134"/>
      </rPr>
      <t>其他彩票发行销售机构业务费安排的支出</t>
    </r>
  </si>
  <si>
    <r>
      <t xml:space="preserve">  </t>
    </r>
    <r>
      <rPr>
        <b/>
        <sz val="10"/>
        <rFont val="宋体"/>
        <charset val="134"/>
      </rPr>
      <t>抗疫特别国债财务基金支出</t>
    </r>
  </si>
  <si>
    <r>
      <t xml:space="preserve">    </t>
    </r>
    <r>
      <rPr>
        <sz val="10"/>
        <rFont val="宋体"/>
        <charset val="134"/>
      </rPr>
      <t>抗疫特别国债财务基金支出</t>
    </r>
  </si>
  <si>
    <r>
      <t xml:space="preserve">  </t>
    </r>
    <r>
      <rPr>
        <b/>
        <sz val="10"/>
        <rFont val="宋体"/>
        <charset val="134"/>
      </rPr>
      <t>超长期特别国债财务基金支出</t>
    </r>
  </si>
  <si>
    <r>
      <t xml:space="preserve">    </t>
    </r>
    <r>
      <rPr>
        <sz val="10"/>
        <rFont val="宋体"/>
        <charset val="134"/>
      </rPr>
      <t>超长期特别国债财务基金支出</t>
    </r>
  </si>
  <si>
    <r>
      <t xml:space="preserve">  </t>
    </r>
    <r>
      <rPr>
        <b/>
        <sz val="10"/>
        <rFont val="宋体"/>
        <charset val="134"/>
      </rPr>
      <t>彩票公益金安排的支出</t>
    </r>
  </si>
  <si>
    <r>
      <t xml:space="preserve">    </t>
    </r>
    <r>
      <rPr>
        <sz val="10"/>
        <rFont val="宋体"/>
        <charset val="134"/>
      </rPr>
      <t>用于补充全国社会保障基金的彩票公益金支出</t>
    </r>
  </si>
  <si>
    <r>
      <t xml:space="preserve">    </t>
    </r>
    <r>
      <rPr>
        <sz val="10"/>
        <rFont val="宋体"/>
        <charset val="134"/>
      </rPr>
      <t>用于社会福利的彩票公益金支出</t>
    </r>
  </si>
  <si>
    <r>
      <t xml:space="preserve">    </t>
    </r>
    <r>
      <rPr>
        <sz val="10"/>
        <rFont val="宋体"/>
        <charset val="134"/>
      </rPr>
      <t>用于体育事业的彩票公益金支出</t>
    </r>
  </si>
  <si>
    <r>
      <t xml:space="preserve">    </t>
    </r>
    <r>
      <rPr>
        <sz val="10"/>
        <rFont val="宋体"/>
        <charset val="134"/>
      </rPr>
      <t>用于教育事业的彩票公益金支出</t>
    </r>
  </si>
  <si>
    <r>
      <t xml:space="preserve">    </t>
    </r>
    <r>
      <rPr>
        <sz val="10"/>
        <rFont val="宋体"/>
        <charset val="134"/>
      </rPr>
      <t>用于红十字事业的彩票公益金支出</t>
    </r>
  </si>
  <si>
    <r>
      <t xml:space="preserve">    </t>
    </r>
    <r>
      <rPr>
        <sz val="10"/>
        <rFont val="宋体"/>
        <charset val="134"/>
      </rPr>
      <t>用于残疾人事业的彩票公益金支出</t>
    </r>
  </si>
  <si>
    <r>
      <t xml:space="preserve">    </t>
    </r>
    <r>
      <rPr>
        <sz val="10"/>
        <rFont val="宋体"/>
        <charset val="134"/>
      </rPr>
      <t>用于文化事业的彩票公益金支出</t>
    </r>
  </si>
  <si>
    <r>
      <t xml:space="preserve">    </t>
    </r>
    <r>
      <rPr>
        <sz val="10"/>
        <rFont val="宋体"/>
        <charset val="134"/>
      </rPr>
      <t>用于巩固脱贫攻坚成果衔接乡村振兴的彩票公益金支出</t>
    </r>
  </si>
  <si>
    <t>12</t>
  </si>
  <si>
    <r>
      <t xml:space="preserve">    </t>
    </r>
    <r>
      <rPr>
        <sz val="10"/>
        <rFont val="宋体"/>
        <charset val="134"/>
      </rPr>
      <t>用于法律援助的彩票公益金支出</t>
    </r>
  </si>
  <si>
    <r>
      <t xml:space="preserve">    </t>
    </r>
    <r>
      <rPr>
        <sz val="10"/>
        <rFont val="宋体"/>
        <charset val="134"/>
      </rPr>
      <t>用于城乡医疗救助的彩票公益金支出</t>
    </r>
  </si>
  <si>
    <r>
      <t xml:space="preserve">    </t>
    </r>
    <r>
      <rPr>
        <sz val="10"/>
        <rFont val="宋体"/>
        <charset val="134"/>
      </rPr>
      <t>用于其他社会公益事业的彩票公益金支出</t>
    </r>
  </si>
  <si>
    <r>
      <t xml:space="preserve">  </t>
    </r>
    <r>
      <rPr>
        <b/>
        <sz val="10"/>
        <rFont val="宋体"/>
        <charset val="134"/>
      </rPr>
      <t>超长期特别国债安排的其他支出</t>
    </r>
  </si>
  <si>
    <r>
      <rPr>
        <b/>
        <sz val="10"/>
        <rFont val="宋体"/>
        <charset val="134"/>
      </rPr>
      <t>十七、债务还本支出</t>
    </r>
  </si>
  <si>
    <r>
      <t xml:space="preserve">  </t>
    </r>
    <r>
      <rPr>
        <b/>
        <sz val="10"/>
        <rFont val="宋体"/>
        <charset val="134"/>
      </rPr>
      <t>地方政府专项债务还本支出</t>
    </r>
  </si>
  <si>
    <r>
      <t xml:space="preserve">  </t>
    </r>
    <r>
      <rPr>
        <b/>
        <sz val="10"/>
        <rFont val="宋体"/>
        <charset val="134"/>
      </rPr>
      <t>抗疫特别国债还本支出</t>
    </r>
  </si>
  <si>
    <r>
      <t xml:space="preserve">  </t>
    </r>
    <r>
      <rPr>
        <b/>
        <sz val="10"/>
        <rFont val="宋体"/>
        <charset val="134"/>
      </rPr>
      <t>超长期特别国债还本支出</t>
    </r>
  </si>
  <si>
    <r>
      <rPr>
        <b/>
        <sz val="10"/>
        <rFont val="宋体"/>
        <charset val="134"/>
      </rPr>
      <t>十八、债务付息支出</t>
    </r>
  </si>
  <si>
    <r>
      <t xml:space="preserve">  </t>
    </r>
    <r>
      <rPr>
        <b/>
        <sz val="10"/>
        <rFont val="宋体"/>
        <charset val="134"/>
      </rPr>
      <t>地方政府专项债务付息支出</t>
    </r>
  </si>
  <si>
    <r>
      <rPr>
        <b/>
        <sz val="10"/>
        <rFont val="宋体"/>
        <charset val="134"/>
      </rPr>
      <t>十九、债务发行费用支出</t>
    </r>
  </si>
  <si>
    <r>
      <t xml:space="preserve">  </t>
    </r>
    <r>
      <rPr>
        <b/>
        <sz val="10"/>
        <rFont val="宋体"/>
        <charset val="134"/>
      </rPr>
      <t>地方政府专项债务发行费用支出</t>
    </r>
  </si>
  <si>
    <r>
      <rPr>
        <b/>
        <sz val="10"/>
        <rFont val="宋体"/>
        <charset val="134"/>
      </rPr>
      <t>二十、抗疫特别国债安排的支出</t>
    </r>
  </si>
  <si>
    <r>
      <t xml:space="preserve">  </t>
    </r>
    <r>
      <rPr>
        <b/>
        <sz val="10"/>
        <rFont val="宋体"/>
        <charset val="134"/>
      </rPr>
      <t>基础设施建设</t>
    </r>
  </si>
  <si>
    <r>
      <t xml:space="preserve">  </t>
    </r>
    <r>
      <rPr>
        <b/>
        <sz val="10"/>
        <rFont val="宋体"/>
        <charset val="134"/>
      </rPr>
      <t>抗疫相关支出</t>
    </r>
  </si>
  <si>
    <r>
      <rPr>
        <b/>
        <sz val="9"/>
        <rFont val="宋体"/>
        <charset val="134"/>
      </rPr>
      <t>收入合计</t>
    </r>
  </si>
  <si>
    <r>
      <rPr>
        <b/>
        <sz val="10"/>
        <rFont val="宋体"/>
        <charset val="134"/>
      </rPr>
      <t>债务收入</t>
    </r>
  </si>
  <si>
    <r>
      <rPr>
        <b/>
        <sz val="10"/>
        <rFont val="宋体"/>
        <charset val="134"/>
      </rPr>
      <t>转移性支出</t>
    </r>
  </si>
  <si>
    <r>
      <t xml:space="preserve">  </t>
    </r>
    <r>
      <rPr>
        <b/>
        <sz val="10"/>
        <rFont val="宋体"/>
        <charset val="134"/>
      </rPr>
      <t>中央政府债务收入</t>
    </r>
  </si>
  <si>
    <r>
      <t xml:space="preserve"> </t>
    </r>
    <r>
      <rPr>
        <b/>
        <sz val="10"/>
        <rFont val="宋体"/>
        <charset val="134"/>
      </rPr>
      <t>政府性基金转移支付</t>
    </r>
  </si>
  <si>
    <r>
      <t xml:space="preserve">    </t>
    </r>
    <r>
      <rPr>
        <sz val="10"/>
        <rFont val="宋体"/>
        <charset val="134"/>
      </rPr>
      <t>超长期特别国债收入</t>
    </r>
  </si>
  <si>
    <r>
      <t xml:space="preserve">  </t>
    </r>
    <r>
      <rPr>
        <sz val="10"/>
        <rFont val="宋体"/>
        <charset val="134"/>
      </rPr>
      <t>上解支出</t>
    </r>
  </si>
  <si>
    <r>
      <t xml:space="preserve">  </t>
    </r>
    <r>
      <rPr>
        <b/>
        <sz val="10"/>
        <rFont val="宋体"/>
        <charset val="134"/>
      </rPr>
      <t>地方政府债务收入</t>
    </r>
  </si>
  <si>
    <r>
      <t xml:space="preserve">  </t>
    </r>
    <r>
      <rPr>
        <sz val="10"/>
        <rFont val="宋体"/>
        <charset val="134"/>
      </rPr>
      <t>调出资金</t>
    </r>
  </si>
  <si>
    <r>
      <t xml:space="preserve">    </t>
    </r>
    <r>
      <rPr>
        <sz val="10"/>
        <rFont val="宋体"/>
        <charset val="134"/>
      </rPr>
      <t>专项债务收入</t>
    </r>
  </si>
  <si>
    <r>
      <t xml:space="preserve">  </t>
    </r>
    <r>
      <rPr>
        <sz val="10"/>
        <rFont val="宋体"/>
        <charset val="134"/>
      </rPr>
      <t>年终结余</t>
    </r>
  </si>
  <si>
    <r>
      <rPr>
        <b/>
        <sz val="10"/>
        <rFont val="宋体"/>
        <charset val="134"/>
      </rPr>
      <t>转移性收入</t>
    </r>
  </si>
  <si>
    <r>
      <t xml:space="preserve">  </t>
    </r>
    <r>
      <rPr>
        <sz val="10"/>
        <rFont val="宋体"/>
        <charset val="134"/>
      </rPr>
      <t>债务转贷支出</t>
    </r>
  </si>
  <si>
    <r>
      <t xml:space="preserve">  </t>
    </r>
    <r>
      <rPr>
        <sz val="10"/>
        <rFont val="宋体"/>
        <charset val="134"/>
      </rPr>
      <t>政府性基金转移支付收入</t>
    </r>
  </si>
  <si>
    <r>
      <t xml:space="preserve">  </t>
    </r>
    <r>
      <rPr>
        <sz val="10"/>
        <rFont val="宋体"/>
        <charset val="134"/>
      </rPr>
      <t>偿债备付金</t>
    </r>
  </si>
  <si>
    <r>
      <t xml:space="preserve">    </t>
    </r>
    <r>
      <rPr>
        <sz val="10"/>
        <rFont val="宋体"/>
        <charset val="134"/>
      </rPr>
      <t>其中：超长期特别国债转移支付收入</t>
    </r>
  </si>
  <si>
    <r>
      <t xml:space="preserve">  </t>
    </r>
    <r>
      <rPr>
        <sz val="10"/>
        <rFont val="宋体"/>
        <charset val="134"/>
      </rPr>
      <t>上解收入</t>
    </r>
  </si>
  <si>
    <r>
      <t xml:space="preserve">  </t>
    </r>
    <r>
      <rPr>
        <sz val="10"/>
        <rFont val="宋体"/>
        <charset val="134"/>
      </rPr>
      <t>上年结余收入</t>
    </r>
  </si>
  <si>
    <r>
      <t xml:space="preserve">  </t>
    </r>
    <r>
      <rPr>
        <sz val="10"/>
        <rFont val="宋体"/>
        <charset val="134"/>
      </rPr>
      <t>调入资金</t>
    </r>
  </si>
  <si>
    <r>
      <t xml:space="preserve">  </t>
    </r>
    <r>
      <rPr>
        <sz val="10"/>
        <rFont val="宋体"/>
        <charset val="134"/>
      </rPr>
      <t>债务转贷收入</t>
    </r>
  </si>
  <si>
    <r>
      <t xml:space="preserve">  </t>
    </r>
    <r>
      <rPr>
        <sz val="10"/>
        <rFont val="宋体"/>
        <charset val="134"/>
      </rPr>
      <t>动用偿债备付金</t>
    </r>
  </si>
  <si>
    <r>
      <rPr>
        <b/>
        <sz val="9"/>
        <rFont val="宋体"/>
        <charset val="134"/>
      </rPr>
      <t>收入总计</t>
    </r>
  </si>
  <si>
    <r>
      <rPr>
        <b/>
        <sz val="16"/>
        <rFont val="黑体"/>
        <family val="3"/>
        <charset val="134"/>
      </rPr>
      <t>表六、三江县</t>
    </r>
    <r>
      <rPr>
        <b/>
        <sz val="16"/>
        <rFont val="Times New Roman"/>
        <family val="1"/>
        <charset val="0"/>
      </rPr>
      <t>2025</t>
    </r>
    <r>
      <rPr>
        <b/>
        <sz val="16"/>
        <rFont val="黑体"/>
        <family val="3"/>
        <charset val="134"/>
      </rPr>
      <t>年政府性基金预算支出来源变动表</t>
    </r>
  </si>
  <si>
    <r>
      <rPr>
        <b/>
        <sz val="10"/>
        <rFont val="宋体"/>
        <charset val="134"/>
      </rPr>
      <t>单位：万元</t>
    </r>
  </si>
  <si>
    <r>
      <rPr>
        <b/>
        <sz val="10"/>
        <rFont val="宋体"/>
        <charset val="134"/>
      </rPr>
      <t>合计</t>
    </r>
  </si>
  <si>
    <r>
      <rPr>
        <b/>
        <sz val="10"/>
        <rFont val="宋体"/>
        <charset val="134"/>
      </rPr>
      <t>当年预算收入安排</t>
    </r>
  </si>
  <si>
    <r>
      <rPr>
        <b/>
        <sz val="10"/>
        <rFont val="宋体"/>
        <charset val="134"/>
      </rPr>
      <t>预算收入变动额</t>
    </r>
    <r>
      <rPr>
        <b/>
        <sz val="10"/>
        <rFont val="Times New Roman"/>
        <family val="1"/>
        <charset val="0"/>
      </rPr>
      <t>(+-)</t>
    </r>
  </si>
  <si>
    <r>
      <rPr>
        <b/>
        <sz val="10"/>
        <rFont val="宋体"/>
        <charset val="134"/>
      </rPr>
      <t>转移支付收入安排</t>
    </r>
  </si>
  <si>
    <r>
      <rPr>
        <b/>
        <sz val="10"/>
        <rFont val="宋体"/>
        <charset val="134"/>
      </rPr>
      <t>转移支付收入年中变动数</t>
    </r>
    <r>
      <rPr>
        <b/>
        <sz val="10"/>
        <rFont val="Times New Roman"/>
        <family val="1"/>
        <charset val="0"/>
      </rPr>
      <t>+-</t>
    </r>
  </si>
  <si>
    <r>
      <rPr>
        <b/>
        <sz val="10"/>
        <rFont val="宋体"/>
        <charset val="134"/>
      </rPr>
      <t>上年结余结算后变动</t>
    </r>
    <r>
      <rPr>
        <b/>
        <sz val="10"/>
        <rFont val="Times New Roman"/>
        <family val="1"/>
        <charset val="0"/>
      </rPr>
      <t>+-</t>
    </r>
  </si>
  <si>
    <r>
      <rPr>
        <b/>
        <sz val="10"/>
        <rFont val="宋体"/>
        <charset val="134"/>
      </rPr>
      <t>政府债务资金</t>
    </r>
  </si>
  <si>
    <r>
      <rPr>
        <b/>
        <sz val="10"/>
        <rFont val="宋体"/>
        <charset val="134"/>
      </rPr>
      <t>其他资金</t>
    </r>
  </si>
  <si>
    <r>
      <t xml:space="preserve">  </t>
    </r>
    <r>
      <rPr>
        <sz val="10"/>
        <rFont val="宋体"/>
        <charset val="134"/>
      </rPr>
      <t>超长期特别国债安排的支出</t>
    </r>
  </si>
  <si>
    <r>
      <t xml:space="preserve">  </t>
    </r>
    <r>
      <rPr>
        <sz val="10"/>
        <rFont val="宋体"/>
        <charset val="134"/>
      </rPr>
      <t>核电站乏燃料处理处置基金支出</t>
    </r>
  </si>
  <si>
    <r>
      <t xml:space="preserve">  </t>
    </r>
    <r>
      <rPr>
        <sz val="10"/>
        <rFont val="宋体"/>
        <charset val="134"/>
      </rPr>
      <t>国家电影事业发展专项资金安排的支出</t>
    </r>
  </si>
  <si>
    <r>
      <t xml:space="preserve">  </t>
    </r>
    <r>
      <rPr>
        <sz val="10"/>
        <rFont val="宋体"/>
        <charset val="134"/>
      </rPr>
      <t>旅游发展基金支出</t>
    </r>
  </si>
  <si>
    <r>
      <t xml:space="preserve">  </t>
    </r>
    <r>
      <rPr>
        <sz val="10"/>
        <rFont val="宋体"/>
        <charset val="134"/>
      </rPr>
      <t>国家电影事业发展专项资金对应专项债务收入安排的支出</t>
    </r>
  </si>
  <si>
    <r>
      <rPr>
        <b/>
        <sz val="10"/>
        <rFont val="宋体"/>
        <charset val="134"/>
      </rPr>
      <t>四、卫生健康支出</t>
    </r>
  </si>
  <si>
    <r>
      <rPr>
        <b/>
        <sz val="10"/>
        <rFont val="宋体"/>
        <charset val="134"/>
      </rPr>
      <t>五、节能环保支出</t>
    </r>
  </si>
  <si>
    <r>
      <t xml:space="preserve">  </t>
    </r>
    <r>
      <rPr>
        <sz val="10"/>
        <rFont val="宋体"/>
        <charset val="134"/>
      </rPr>
      <t>可再生能源电价附加收入安排的支出</t>
    </r>
  </si>
  <si>
    <r>
      <t xml:space="preserve">  </t>
    </r>
    <r>
      <rPr>
        <sz val="10"/>
        <rFont val="宋体"/>
        <charset val="134"/>
      </rPr>
      <t>废弃电器电子产品处理基金支出</t>
    </r>
  </si>
  <si>
    <r>
      <rPr>
        <b/>
        <sz val="10"/>
        <rFont val="宋体"/>
        <charset val="134"/>
      </rPr>
      <t>六、城乡社区支出</t>
    </r>
  </si>
  <si>
    <r>
      <t xml:space="preserve">  </t>
    </r>
    <r>
      <rPr>
        <sz val="10"/>
        <rFont val="宋体"/>
        <charset val="134"/>
      </rPr>
      <t>国有土地使用权出让收入安排的支出</t>
    </r>
  </si>
  <si>
    <r>
      <t xml:space="preserve">  </t>
    </r>
    <r>
      <rPr>
        <sz val="10"/>
        <rFont val="宋体"/>
        <charset val="134"/>
      </rPr>
      <t>国有土地收益基金安排的支出</t>
    </r>
  </si>
  <si>
    <r>
      <t xml:space="preserve">  </t>
    </r>
    <r>
      <rPr>
        <sz val="10"/>
        <rFont val="宋体"/>
        <charset val="134"/>
      </rPr>
      <t>农业土地开发资金安排的支出</t>
    </r>
  </si>
  <si>
    <r>
      <t xml:space="preserve">  </t>
    </r>
    <r>
      <rPr>
        <sz val="10"/>
        <rFont val="宋体"/>
        <charset val="134"/>
      </rPr>
      <t>城市基础设施配套费安排的支出</t>
    </r>
  </si>
  <si>
    <r>
      <t xml:space="preserve">  </t>
    </r>
    <r>
      <rPr>
        <sz val="10"/>
        <rFont val="宋体"/>
        <charset val="134"/>
      </rPr>
      <t>污水处理费安排的支出</t>
    </r>
  </si>
  <si>
    <r>
      <t xml:space="preserve">  </t>
    </r>
    <r>
      <rPr>
        <sz val="10"/>
        <rFont val="宋体"/>
        <charset val="134"/>
      </rPr>
      <t>土地储备专项债券收入安排的支出</t>
    </r>
  </si>
  <si>
    <r>
      <t xml:space="preserve">  </t>
    </r>
    <r>
      <rPr>
        <sz val="10"/>
        <rFont val="宋体"/>
        <charset val="134"/>
      </rPr>
      <t>棚户区改造专项债券收入安排的支出</t>
    </r>
  </si>
  <si>
    <r>
      <t xml:space="preserve">  </t>
    </r>
    <r>
      <rPr>
        <sz val="10"/>
        <rFont val="宋体"/>
        <charset val="134"/>
      </rPr>
      <t>城市基础设施配套费对应专项债务收入安排的支出</t>
    </r>
  </si>
  <si>
    <r>
      <t xml:space="preserve">  </t>
    </r>
    <r>
      <rPr>
        <sz val="10"/>
        <rFont val="宋体"/>
        <charset val="134"/>
      </rPr>
      <t>污水处理费对应专项债务收入安排的支出</t>
    </r>
  </si>
  <si>
    <r>
      <t xml:space="preserve">  </t>
    </r>
    <r>
      <rPr>
        <sz val="10"/>
        <rFont val="宋体"/>
        <charset val="134"/>
      </rPr>
      <t>国有土地使用权出让收入对应专项债务收入安排的支出</t>
    </r>
  </si>
  <si>
    <r>
      <rPr>
        <b/>
        <sz val="10"/>
        <rFont val="宋体"/>
        <charset val="134"/>
      </rPr>
      <t>七、农林水支出</t>
    </r>
  </si>
  <si>
    <r>
      <t xml:space="preserve">  </t>
    </r>
    <r>
      <rPr>
        <sz val="10"/>
        <rFont val="宋体"/>
        <charset val="134"/>
      </rPr>
      <t>大中型水库库区基金安排的支出</t>
    </r>
  </si>
  <si>
    <r>
      <t xml:space="preserve">  </t>
    </r>
    <r>
      <rPr>
        <sz val="10"/>
        <rFont val="宋体"/>
        <charset val="134"/>
      </rPr>
      <t>三峡水库库区基金支出</t>
    </r>
  </si>
  <si>
    <r>
      <t xml:space="preserve">  </t>
    </r>
    <r>
      <rPr>
        <sz val="10"/>
        <rFont val="宋体"/>
        <charset val="134"/>
      </rPr>
      <t>国家重大水利工程建设基金安排的支出</t>
    </r>
  </si>
  <si>
    <r>
      <t xml:space="preserve">  </t>
    </r>
    <r>
      <rPr>
        <sz val="10"/>
        <rFont val="宋体"/>
        <charset val="134"/>
      </rPr>
      <t>大中型水库库区基金对应专项债务收入安排的支出</t>
    </r>
  </si>
  <si>
    <r>
      <t xml:space="preserve">  </t>
    </r>
    <r>
      <rPr>
        <sz val="10"/>
        <rFont val="宋体"/>
        <charset val="134"/>
      </rPr>
      <t>国家重大水利工程建设基金对应专项债务收入安排的支出</t>
    </r>
  </si>
  <si>
    <r>
      <t xml:space="preserve">  </t>
    </r>
    <r>
      <rPr>
        <sz val="10"/>
        <rFont val="宋体"/>
        <charset val="134"/>
      </rPr>
      <t>大中型水库移民后期扶持基金支出</t>
    </r>
  </si>
  <si>
    <r>
      <t xml:space="preserve">  </t>
    </r>
    <r>
      <rPr>
        <sz val="10"/>
        <rFont val="宋体"/>
        <charset val="134"/>
      </rPr>
      <t>小型水库移民扶助基金安排的支出</t>
    </r>
  </si>
  <si>
    <r>
      <t xml:space="preserve">  </t>
    </r>
    <r>
      <rPr>
        <sz val="10"/>
        <rFont val="宋体"/>
        <charset val="134"/>
      </rPr>
      <t>小型水库移民扶助基金对应专项债务安排的支出</t>
    </r>
  </si>
  <si>
    <r>
      <rPr>
        <b/>
        <sz val="10"/>
        <rFont val="宋体"/>
        <charset val="134"/>
      </rPr>
      <t>八、交通运输支出</t>
    </r>
  </si>
  <si>
    <r>
      <t xml:space="preserve">  </t>
    </r>
    <r>
      <rPr>
        <sz val="10"/>
        <rFont val="宋体"/>
        <charset val="134"/>
      </rPr>
      <t>海南省高等级公路车辆通行附加费安排的支出</t>
    </r>
  </si>
  <si>
    <r>
      <t xml:space="preserve">  </t>
    </r>
    <r>
      <rPr>
        <sz val="10"/>
        <rFont val="宋体"/>
        <charset val="134"/>
      </rPr>
      <t>车辆通行费安排的支出</t>
    </r>
  </si>
  <si>
    <r>
      <t xml:space="preserve">  </t>
    </r>
    <r>
      <rPr>
        <sz val="10"/>
        <rFont val="宋体"/>
        <charset val="134"/>
      </rPr>
      <t>铁路建设基金支出</t>
    </r>
  </si>
  <si>
    <r>
      <t xml:space="preserve">  </t>
    </r>
    <r>
      <rPr>
        <sz val="10"/>
        <rFont val="宋体"/>
        <charset val="134"/>
      </rPr>
      <t>船舶油污损害赔偿基金支出</t>
    </r>
  </si>
  <si>
    <r>
      <t xml:space="preserve">  </t>
    </r>
    <r>
      <rPr>
        <sz val="10"/>
        <rFont val="宋体"/>
        <charset val="134"/>
      </rPr>
      <t>民航发展基金支出</t>
    </r>
  </si>
  <si>
    <r>
      <t xml:space="preserve">  </t>
    </r>
    <r>
      <rPr>
        <sz val="10"/>
        <rFont val="宋体"/>
        <charset val="134"/>
      </rPr>
      <t>海南省高等级公路车辆通行附加费对应专项债务收入安排的支出</t>
    </r>
  </si>
  <si>
    <r>
      <t xml:space="preserve">  </t>
    </r>
    <r>
      <rPr>
        <sz val="10"/>
        <rFont val="宋体"/>
        <charset val="134"/>
      </rPr>
      <t>政府收费公路专项债券收入安排的支出</t>
    </r>
  </si>
  <si>
    <r>
      <t xml:space="preserve">  </t>
    </r>
    <r>
      <rPr>
        <sz val="10"/>
        <rFont val="宋体"/>
        <charset val="134"/>
      </rPr>
      <t>车辆通行费对应专项债务收入安排的支出</t>
    </r>
  </si>
  <si>
    <r>
      <rPr>
        <b/>
        <sz val="10"/>
        <rFont val="宋体"/>
        <charset val="134"/>
      </rPr>
      <t>九、资源勘探工业信息等支出</t>
    </r>
  </si>
  <si>
    <r>
      <t xml:space="preserve">  </t>
    </r>
    <r>
      <rPr>
        <sz val="10"/>
        <rFont val="宋体"/>
        <charset val="134"/>
      </rPr>
      <t>农网还贷资金支出</t>
    </r>
  </si>
  <si>
    <r>
      <rPr>
        <b/>
        <sz val="10"/>
        <rFont val="宋体"/>
        <charset val="134"/>
      </rPr>
      <t>十、金融支出</t>
    </r>
  </si>
  <si>
    <r>
      <t xml:space="preserve">  </t>
    </r>
    <r>
      <rPr>
        <sz val="10"/>
        <rFont val="宋体"/>
        <charset val="134"/>
      </rPr>
      <t>金融调控支出</t>
    </r>
  </si>
  <si>
    <r>
      <rPr>
        <b/>
        <sz val="10"/>
        <rFont val="宋体"/>
        <charset val="134"/>
      </rPr>
      <t>十一、自然资源海洋气象等支出</t>
    </r>
  </si>
  <si>
    <r>
      <t xml:space="preserve">  </t>
    </r>
    <r>
      <rPr>
        <sz val="10"/>
        <rFont val="宋体"/>
        <charset val="134"/>
      </rPr>
      <t>耕地保护考核奖惩基金支出</t>
    </r>
  </si>
  <si>
    <r>
      <rPr>
        <b/>
        <sz val="10"/>
        <rFont val="宋体"/>
        <charset val="134"/>
      </rPr>
      <t>十二、住房保障支出</t>
    </r>
  </si>
  <si>
    <r>
      <rPr>
        <b/>
        <sz val="10"/>
        <rFont val="宋体"/>
        <charset val="134"/>
      </rPr>
      <t>十三、粮油物资储备支出</t>
    </r>
  </si>
  <si>
    <r>
      <rPr>
        <b/>
        <sz val="10"/>
        <rFont val="宋体"/>
        <charset val="134"/>
      </rPr>
      <t>十四、灾害防治及应急管理支出</t>
    </r>
  </si>
  <si>
    <r>
      <rPr>
        <b/>
        <sz val="10"/>
        <rFont val="宋体"/>
        <charset val="134"/>
      </rPr>
      <t>十五、其他支出</t>
    </r>
  </si>
  <si>
    <r>
      <t xml:space="preserve">  </t>
    </r>
    <r>
      <rPr>
        <sz val="10"/>
        <rFont val="宋体"/>
        <charset val="134"/>
      </rPr>
      <t>其他政府性基金及对应专项债务收入安排的支出</t>
    </r>
  </si>
  <si>
    <r>
      <t xml:space="preserve">  </t>
    </r>
    <r>
      <rPr>
        <sz val="10"/>
        <rFont val="宋体"/>
        <charset val="134"/>
      </rPr>
      <t>彩票发行销售机构业务费安排的支出</t>
    </r>
  </si>
  <si>
    <r>
      <t xml:space="preserve">  </t>
    </r>
    <r>
      <rPr>
        <sz val="10"/>
        <rFont val="宋体"/>
        <charset val="134"/>
      </rPr>
      <t>抗疫特别国债财务基金支出</t>
    </r>
  </si>
  <si>
    <r>
      <t xml:space="preserve">  </t>
    </r>
    <r>
      <rPr>
        <sz val="10"/>
        <rFont val="宋体"/>
        <charset val="134"/>
      </rPr>
      <t>超长期特别国债财务基金支出</t>
    </r>
  </si>
  <si>
    <r>
      <t xml:space="preserve">  </t>
    </r>
    <r>
      <rPr>
        <sz val="10"/>
        <rFont val="宋体"/>
        <charset val="134"/>
      </rPr>
      <t>彩票公益金安排的支出</t>
    </r>
  </si>
  <si>
    <r>
      <t xml:space="preserve">  </t>
    </r>
    <r>
      <rPr>
        <sz val="10"/>
        <rFont val="宋体"/>
        <charset val="134"/>
      </rPr>
      <t>超长期特别国债安排的其他支出</t>
    </r>
  </si>
  <si>
    <r>
      <rPr>
        <b/>
        <sz val="10"/>
        <rFont val="宋体"/>
        <charset val="134"/>
      </rPr>
      <t>十六、债务还本支出</t>
    </r>
  </si>
  <si>
    <r>
      <t xml:space="preserve">  </t>
    </r>
    <r>
      <rPr>
        <sz val="10"/>
        <rFont val="宋体"/>
        <charset val="134"/>
      </rPr>
      <t>地方政府专项债务还本支出</t>
    </r>
  </si>
  <si>
    <r>
      <t xml:space="preserve">  </t>
    </r>
    <r>
      <rPr>
        <sz val="10"/>
        <rFont val="宋体"/>
        <charset val="134"/>
      </rPr>
      <t>抗疫特别国债还本支出</t>
    </r>
  </si>
  <si>
    <r>
      <t xml:space="preserve">  </t>
    </r>
    <r>
      <rPr>
        <sz val="10"/>
        <rFont val="宋体"/>
        <charset val="134"/>
      </rPr>
      <t>超长期特别国债还本支出</t>
    </r>
  </si>
  <si>
    <r>
      <rPr>
        <b/>
        <sz val="10"/>
        <rFont val="宋体"/>
        <charset val="134"/>
      </rPr>
      <t>十七、债务付息支出</t>
    </r>
  </si>
  <si>
    <r>
      <t xml:space="preserve">  </t>
    </r>
    <r>
      <rPr>
        <sz val="10"/>
        <rFont val="宋体"/>
        <charset val="134"/>
      </rPr>
      <t>地方政府专项债务付息支出</t>
    </r>
  </si>
  <si>
    <r>
      <rPr>
        <b/>
        <sz val="10"/>
        <rFont val="宋体"/>
        <charset val="134"/>
      </rPr>
      <t>十八、债务发行费用支出</t>
    </r>
  </si>
  <si>
    <r>
      <t xml:space="preserve">  </t>
    </r>
    <r>
      <rPr>
        <sz val="10"/>
        <rFont val="宋体"/>
        <charset val="134"/>
      </rPr>
      <t>地方政府专项债务发行费用支出</t>
    </r>
  </si>
  <si>
    <r>
      <rPr>
        <b/>
        <sz val="10"/>
        <rFont val="宋体"/>
        <charset val="134"/>
      </rPr>
      <t>十九、抗疫特别国债安排的支出</t>
    </r>
  </si>
  <si>
    <r>
      <t xml:space="preserve">  </t>
    </r>
    <r>
      <rPr>
        <sz val="10"/>
        <rFont val="宋体"/>
        <charset val="134"/>
      </rPr>
      <t>基础设施建设</t>
    </r>
  </si>
  <si>
    <r>
      <t xml:space="preserve">  </t>
    </r>
    <r>
      <rPr>
        <sz val="10"/>
        <rFont val="宋体"/>
        <charset val="134"/>
      </rPr>
      <t>抗疫相关支出</t>
    </r>
  </si>
  <si>
    <r>
      <rPr>
        <b/>
        <sz val="10"/>
        <rFont val="宋体"/>
        <charset val="134"/>
      </rPr>
      <t>二十、调出资金</t>
    </r>
  </si>
  <si>
    <r>
      <rPr>
        <b/>
        <sz val="10"/>
        <rFont val="宋体"/>
        <charset val="134"/>
      </rPr>
      <t>支出总计</t>
    </r>
  </si>
  <si>
    <r>
      <rPr>
        <b/>
        <sz val="16"/>
        <rFont val="黑体"/>
        <family val="3"/>
        <charset val="134"/>
      </rPr>
      <t>表七、三江县</t>
    </r>
    <r>
      <rPr>
        <b/>
        <sz val="16"/>
        <rFont val="Times New Roman"/>
        <family val="1"/>
        <charset val="0"/>
      </rPr>
      <t>2025</t>
    </r>
    <r>
      <rPr>
        <b/>
        <sz val="16"/>
        <rFont val="黑体"/>
        <family val="3"/>
        <charset val="134"/>
      </rPr>
      <t>年社会保险基金预算执行情况</t>
    </r>
    <r>
      <rPr>
        <b/>
        <sz val="16"/>
        <rFont val="Times New Roman"/>
        <family val="1"/>
        <charset val="0"/>
      </rPr>
      <t xml:space="preserve">    </t>
    </r>
  </si>
  <si>
    <r>
      <t>单位</t>
    </r>
    <r>
      <rPr>
        <sz val="10"/>
        <rFont val="Times New Roman"/>
        <family val="1"/>
        <charset val="0"/>
      </rPr>
      <t xml:space="preserve"> </t>
    </r>
    <r>
      <rPr>
        <sz val="10"/>
        <rFont val="宋体"/>
        <charset val="134"/>
      </rPr>
      <t>：万元</t>
    </r>
  </si>
  <si>
    <r>
      <rPr>
        <b/>
        <sz val="12"/>
        <rFont val="宋体"/>
        <charset val="134"/>
      </rPr>
      <t>收</t>
    </r>
    <r>
      <rPr>
        <b/>
        <sz val="12"/>
        <rFont val="Times New Roman"/>
        <family val="1"/>
        <charset val="0"/>
      </rPr>
      <t xml:space="preserve">   </t>
    </r>
    <r>
      <rPr>
        <b/>
        <sz val="12"/>
        <rFont val="宋体"/>
        <charset val="134"/>
      </rPr>
      <t>入</t>
    </r>
  </si>
  <si>
    <r>
      <rPr>
        <b/>
        <sz val="12"/>
        <rFont val="宋体"/>
        <charset val="134"/>
      </rPr>
      <t>支</t>
    </r>
    <r>
      <rPr>
        <b/>
        <sz val="12"/>
        <rFont val="Times New Roman"/>
        <family val="1"/>
        <charset val="0"/>
      </rPr>
      <t xml:space="preserve">    </t>
    </r>
    <r>
      <rPr>
        <b/>
        <sz val="12"/>
        <rFont val="宋体"/>
        <charset val="134"/>
      </rPr>
      <t>出</t>
    </r>
  </si>
  <si>
    <r>
      <rPr>
        <b/>
        <sz val="11"/>
        <rFont val="宋体"/>
        <charset val="134"/>
      </rPr>
      <t>科</t>
    </r>
    <r>
      <rPr>
        <b/>
        <sz val="11"/>
        <rFont val="Times New Roman"/>
        <family val="1"/>
        <charset val="0"/>
      </rPr>
      <t xml:space="preserve">   </t>
    </r>
    <r>
      <rPr>
        <b/>
        <sz val="11"/>
        <rFont val="宋体"/>
        <charset val="134"/>
      </rPr>
      <t>目</t>
    </r>
  </si>
  <si>
    <r>
      <rPr>
        <b/>
        <sz val="11"/>
        <rFont val="宋体"/>
        <charset val="134"/>
      </rPr>
      <t>预算数</t>
    </r>
  </si>
  <si>
    <r>
      <rPr>
        <b/>
        <sz val="11"/>
        <rFont val="宋体"/>
        <charset val="134"/>
      </rPr>
      <t>调整预算数</t>
    </r>
  </si>
  <si>
    <r>
      <rPr>
        <b/>
        <sz val="11"/>
        <rFont val="宋体"/>
        <charset val="134"/>
      </rPr>
      <t>执行数</t>
    </r>
  </si>
  <si>
    <r>
      <rPr>
        <b/>
        <sz val="11"/>
        <rFont val="宋体"/>
        <charset val="134"/>
      </rPr>
      <t>完成调整预算</t>
    </r>
    <r>
      <rPr>
        <b/>
        <sz val="11"/>
        <rFont val="Times New Roman"/>
        <family val="1"/>
        <charset val="0"/>
      </rPr>
      <t>%</t>
    </r>
  </si>
  <si>
    <r>
      <t>1</t>
    </r>
    <r>
      <rPr>
        <b/>
        <sz val="11"/>
        <rFont val="宋体"/>
        <charset val="134"/>
      </rPr>
      <t>、机关事业基本养老基金收入</t>
    </r>
  </si>
  <si>
    <r>
      <t>1</t>
    </r>
    <r>
      <rPr>
        <b/>
        <sz val="11"/>
        <rFont val="宋体"/>
        <charset val="134"/>
      </rPr>
      <t>、机关事业基本养老基金支出</t>
    </r>
  </si>
  <si>
    <r>
      <t xml:space="preserve">   </t>
    </r>
    <r>
      <rPr>
        <sz val="11"/>
        <rFont val="宋体"/>
        <charset val="134"/>
      </rPr>
      <t>其中：机关事业保险费收入</t>
    </r>
  </si>
  <si>
    <r>
      <t xml:space="preserve">   </t>
    </r>
    <r>
      <rPr>
        <sz val="11"/>
        <rFont val="宋体"/>
        <charset val="134"/>
      </rPr>
      <t>其中：机关事业保险费支出</t>
    </r>
  </si>
  <si>
    <r>
      <t xml:space="preserve">         </t>
    </r>
    <r>
      <rPr>
        <sz val="11"/>
        <rFont val="宋体"/>
        <charset val="134"/>
      </rPr>
      <t>基本养老财政补助收入</t>
    </r>
  </si>
  <si>
    <r>
      <t xml:space="preserve">         </t>
    </r>
    <r>
      <rPr>
        <sz val="11"/>
        <rFont val="宋体"/>
        <charset val="134"/>
      </rPr>
      <t>丧葬抚恤补助支出</t>
    </r>
  </si>
  <si>
    <r>
      <t xml:space="preserve">         </t>
    </r>
    <r>
      <rPr>
        <sz val="11"/>
        <rFont val="宋体"/>
        <charset val="134"/>
      </rPr>
      <t>利息收入</t>
    </r>
  </si>
  <si>
    <r>
      <t xml:space="preserve">         </t>
    </r>
    <r>
      <rPr>
        <sz val="11"/>
        <rFont val="宋体"/>
        <charset val="134"/>
      </rPr>
      <t>其他支出</t>
    </r>
  </si>
  <si>
    <r>
      <t xml:space="preserve">         </t>
    </r>
    <r>
      <rPr>
        <sz val="11"/>
        <rFont val="宋体"/>
        <charset val="134"/>
      </rPr>
      <t>转移收入</t>
    </r>
  </si>
  <si>
    <r>
      <t xml:space="preserve">         </t>
    </r>
    <r>
      <rPr>
        <sz val="11"/>
        <rFont val="宋体"/>
        <charset val="134"/>
      </rPr>
      <t>转移支出</t>
    </r>
  </si>
  <si>
    <r>
      <t xml:space="preserve">         </t>
    </r>
    <r>
      <rPr>
        <sz val="11"/>
        <rFont val="宋体"/>
        <charset val="134"/>
      </rPr>
      <t>其他收入</t>
    </r>
  </si>
  <si>
    <r>
      <t xml:space="preserve">        </t>
    </r>
    <r>
      <rPr>
        <sz val="11"/>
        <rFont val="宋体"/>
        <charset val="134"/>
      </rPr>
      <t>上年结余</t>
    </r>
  </si>
  <si>
    <r>
      <t xml:space="preserve">     </t>
    </r>
    <r>
      <rPr>
        <sz val="11"/>
        <rFont val="宋体"/>
        <charset val="134"/>
      </rPr>
      <t>年末结余</t>
    </r>
  </si>
  <si>
    <r>
      <t>2</t>
    </r>
    <r>
      <rPr>
        <b/>
        <sz val="11"/>
        <rFont val="宋体"/>
        <charset val="134"/>
      </rPr>
      <t>、城乡居民社会养老保险基金收入</t>
    </r>
  </si>
  <si>
    <r>
      <t>2</t>
    </r>
    <r>
      <rPr>
        <b/>
        <sz val="11"/>
        <rFont val="宋体"/>
        <charset val="134"/>
      </rPr>
      <t>、城乡居民社会养老保险基金支出</t>
    </r>
  </si>
  <si>
    <r>
      <t xml:space="preserve">   </t>
    </r>
    <r>
      <rPr>
        <sz val="11"/>
        <rFont val="宋体"/>
        <charset val="134"/>
      </rPr>
      <t>其中：城乡居民基本养老缴费收入</t>
    </r>
  </si>
  <si>
    <r>
      <t xml:space="preserve">   </t>
    </r>
    <r>
      <rPr>
        <sz val="11"/>
        <rFont val="宋体"/>
        <charset val="134"/>
      </rPr>
      <t>其中：基础养老金支出</t>
    </r>
  </si>
  <si>
    <r>
      <t xml:space="preserve">         </t>
    </r>
    <r>
      <rPr>
        <sz val="11"/>
        <rFont val="宋体"/>
        <charset val="134"/>
      </rPr>
      <t>政府补贴收入</t>
    </r>
  </si>
  <si>
    <r>
      <t xml:space="preserve">         </t>
    </r>
    <r>
      <rPr>
        <sz val="11"/>
        <rFont val="宋体"/>
        <charset val="134"/>
      </rPr>
      <t>个人账户养老金支出</t>
    </r>
  </si>
  <si>
    <r>
      <t xml:space="preserve">         </t>
    </r>
    <r>
      <rPr>
        <sz val="11"/>
        <rFont val="宋体"/>
        <charset val="134"/>
      </rPr>
      <t>丧葬补助金支出</t>
    </r>
  </si>
  <si>
    <r>
      <t xml:space="preserve">         </t>
    </r>
    <r>
      <rPr>
        <sz val="11"/>
        <rFont val="宋体"/>
        <charset val="134"/>
      </rPr>
      <t>委托投资收益</t>
    </r>
  </si>
  <si>
    <r>
      <t xml:space="preserve">         </t>
    </r>
    <r>
      <rPr>
        <sz val="11"/>
        <rFont val="宋体"/>
        <charset val="134"/>
      </rPr>
      <t>转移性支出</t>
    </r>
  </si>
  <si>
    <r>
      <t xml:space="preserve">     </t>
    </r>
    <r>
      <rPr>
        <sz val="11"/>
        <rFont val="宋体"/>
        <charset val="134"/>
      </rPr>
      <t>上年结余</t>
    </r>
  </si>
  <si>
    <r>
      <rPr>
        <b/>
        <sz val="11"/>
        <rFont val="宋体"/>
        <charset val="134"/>
      </rPr>
      <t>合</t>
    </r>
    <r>
      <rPr>
        <b/>
        <sz val="11"/>
        <rFont val="Times New Roman"/>
        <family val="1"/>
        <charset val="0"/>
      </rPr>
      <t xml:space="preserve">     </t>
    </r>
    <r>
      <rPr>
        <b/>
        <sz val="11"/>
        <rFont val="宋体"/>
        <charset val="134"/>
      </rPr>
      <t>计</t>
    </r>
  </si>
  <si>
    <r>
      <rPr>
        <b/>
        <sz val="16"/>
        <rFont val="黑体"/>
        <family val="3"/>
        <charset val="134"/>
      </rPr>
      <t>表八、三江县</t>
    </r>
    <r>
      <rPr>
        <b/>
        <sz val="16"/>
        <rFont val="Times New Roman"/>
        <family val="1"/>
        <charset val="0"/>
      </rPr>
      <t>2025</t>
    </r>
    <r>
      <rPr>
        <b/>
        <sz val="16"/>
        <rFont val="黑体"/>
        <family val="3"/>
        <charset val="134"/>
      </rPr>
      <t>年国有资本经营预算收支执行情况表</t>
    </r>
  </si>
  <si>
    <r>
      <rPr>
        <b/>
        <sz val="11"/>
        <rFont val="宋体"/>
        <charset val="134"/>
      </rPr>
      <t>金额单位：万元</t>
    </r>
  </si>
  <si>
    <r>
      <rPr>
        <b/>
        <sz val="10"/>
        <rFont val="宋体"/>
        <charset val="134"/>
      </rPr>
      <t>收</t>
    </r>
    <r>
      <rPr>
        <b/>
        <sz val="10"/>
        <rFont val="Times New Roman"/>
        <family val="1"/>
        <charset val="0"/>
      </rPr>
      <t xml:space="preserve">          </t>
    </r>
    <r>
      <rPr>
        <b/>
        <sz val="10"/>
        <rFont val="宋体"/>
        <charset val="134"/>
      </rPr>
      <t>入</t>
    </r>
  </si>
  <si>
    <r>
      <rPr>
        <b/>
        <sz val="10"/>
        <rFont val="宋体"/>
        <charset val="134"/>
      </rPr>
      <t>支</t>
    </r>
    <r>
      <rPr>
        <b/>
        <sz val="10"/>
        <rFont val="Times New Roman"/>
        <family val="1"/>
        <charset val="0"/>
      </rPr>
      <t xml:space="preserve">          </t>
    </r>
    <r>
      <rPr>
        <b/>
        <sz val="10"/>
        <rFont val="宋体"/>
        <charset val="134"/>
      </rPr>
      <t>出</t>
    </r>
  </si>
  <si>
    <r>
      <rPr>
        <b/>
        <sz val="10"/>
        <rFont val="宋体"/>
        <charset val="134"/>
      </rPr>
      <t>项</t>
    </r>
    <r>
      <rPr>
        <b/>
        <sz val="10"/>
        <rFont val="Times New Roman"/>
        <family val="1"/>
        <charset val="0"/>
      </rPr>
      <t xml:space="preserve">        </t>
    </r>
    <r>
      <rPr>
        <b/>
        <sz val="10"/>
        <rFont val="宋体"/>
        <charset val="134"/>
      </rPr>
      <t>目</t>
    </r>
  </si>
  <si>
    <r>
      <t>2024</t>
    </r>
    <r>
      <rPr>
        <b/>
        <sz val="10"/>
        <rFont val="宋体"/>
        <charset val="134"/>
      </rPr>
      <t>年决算数</t>
    </r>
  </si>
  <si>
    <r>
      <t>2025</t>
    </r>
    <r>
      <rPr>
        <b/>
        <sz val="10"/>
        <rFont val="宋体"/>
        <charset val="134"/>
      </rPr>
      <t>年执行数</t>
    </r>
  </si>
  <si>
    <r>
      <rPr>
        <b/>
        <sz val="10"/>
        <rFont val="宋体"/>
        <charset val="134"/>
      </rPr>
      <t>省本级</t>
    </r>
  </si>
  <si>
    <r>
      <rPr>
        <b/>
        <sz val="10"/>
        <rFont val="宋体"/>
        <charset val="134"/>
      </rPr>
      <t>市、县级</t>
    </r>
  </si>
  <si>
    <r>
      <rPr>
        <sz val="10"/>
        <rFont val="宋体"/>
        <charset val="134"/>
      </rPr>
      <t>一、利润收入</t>
    </r>
  </si>
  <si>
    <r>
      <rPr>
        <sz val="10"/>
        <rFont val="宋体"/>
        <charset val="134"/>
      </rPr>
      <t>一、解决历史遗留问题及改革成本支出</t>
    </r>
  </si>
  <si>
    <r>
      <rPr>
        <sz val="10"/>
        <rFont val="宋体"/>
        <charset val="134"/>
      </rPr>
      <t>二、股利、股息收入</t>
    </r>
  </si>
  <si>
    <r>
      <rPr>
        <sz val="10"/>
        <rFont val="宋体"/>
        <charset val="134"/>
      </rPr>
      <t>二、国有企业资本金注入</t>
    </r>
  </si>
  <si>
    <r>
      <rPr>
        <sz val="10"/>
        <rFont val="宋体"/>
        <charset val="134"/>
      </rPr>
      <t>三、产权转让收入</t>
    </r>
  </si>
  <si>
    <r>
      <rPr>
        <sz val="10"/>
        <rFont val="宋体"/>
        <charset val="134"/>
      </rPr>
      <t>三、国有企业政策性补贴</t>
    </r>
  </si>
  <si>
    <r>
      <rPr>
        <sz val="10"/>
        <rFont val="宋体"/>
        <charset val="134"/>
      </rPr>
      <t>四、清算收入</t>
    </r>
  </si>
  <si>
    <r>
      <rPr>
        <sz val="10"/>
        <rFont val="宋体"/>
        <charset val="134"/>
      </rPr>
      <t>四、金融国有资本经营预算支出</t>
    </r>
  </si>
  <si>
    <r>
      <rPr>
        <sz val="10"/>
        <rFont val="宋体"/>
        <charset val="134"/>
      </rPr>
      <t>五、其他国有资本经营预算收入</t>
    </r>
  </si>
  <si>
    <r>
      <rPr>
        <sz val="10"/>
        <rFont val="宋体"/>
        <charset val="134"/>
      </rPr>
      <t>五、其他国有资本经营预算支出</t>
    </r>
  </si>
  <si>
    <r>
      <rPr>
        <b/>
        <sz val="10"/>
        <rFont val="宋体"/>
        <charset val="134"/>
      </rPr>
      <t>收</t>
    </r>
    <r>
      <rPr>
        <b/>
        <sz val="10"/>
        <rFont val="Times New Roman"/>
        <family val="1"/>
        <charset val="0"/>
      </rPr>
      <t xml:space="preserve"> </t>
    </r>
    <r>
      <rPr>
        <b/>
        <sz val="10"/>
        <rFont val="宋体"/>
        <charset val="134"/>
      </rPr>
      <t>入</t>
    </r>
    <r>
      <rPr>
        <b/>
        <sz val="10"/>
        <rFont val="Times New Roman"/>
        <family val="1"/>
        <charset val="0"/>
      </rPr>
      <t xml:space="preserve"> </t>
    </r>
    <r>
      <rPr>
        <b/>
        <sz val="10"/>
        <rFont val="宋体"/>
        <charset val="134"/>
      </rPr>
      <t>合</t>
    </r>
    <r>
      <rPr>
        <b/>
        <sz val="10"/>
        <rFont val="Times New Roman"/>
        <family val="1"/>
        <charset val="0"/>
      </rPr>
      <t xml:space="preserve"> </t>
    </r>
    <r>
      <rPr>
        <b/>
        <sz val="10"/>
        <rFont val="宋体"/>
        <charset val="134"/>
      </rPr>
      <t>计</t>
    </r>
  </si>
  <si>
    <r>
      <rPr>
        <b/>
        <sz val="10"/>
        <rFont val="宋体"/>
        <charset val="134"/>
      </rPr>
      <t>支</t>
    </r>
    <r>
      <rPr>
        <b/>
        <sz val="10"/>
        <rFont val="Times New Roman"/>
        <family val="1"/>
        <charset val="0"/>
      </rPr>
      <t xml:space="preserve"> </t>
    </r>
    <r>
      <rPr>
        <b/>
        <sz val="10"/>
        <rFont val="宋体"/>
        <charset val="134"/>
      </rPr>
      <t>出</t>
    </r>
    <r>
      <rPr>
        <b/>
        <sz val="10"/>
        <rFont val="Times New Roman"/>
        <family val="1"/>
        <charset val="0"/>
      </rPr>
      <t xml:space="preserve"> </t>
    </r>
    <r>
      <rPr>
        <b/>
        <sz val="10"/>
        <rFont val="宋体"/>
        <charset val="134"/>
      </rPr>
      <t>合</t>
    </r>
    <r>
      <rPr>
        <b/>
        <sz val="10"/>
        <rFont val="Times New Roman"/>
        <family val="1"/>
        <charset val="0"/>
      </rPr>
      <t xml:space="preserve"> </t>
    </r>
    <r>
      <rPr>
        <b/>
        <sz val="10"/>
        <rFont val="宋体"/>
        <charset val="134"/>
      </rPr>
      <t>计</t>
    </r>
  </si>
  <si>
    <r>
      <rPr>
        <sz val="10"/>
        <rFont val="宋体"/>
        <charset val="134"/>
      </rPr>
      <t>国有资本经营预算转移支付收入</t>
    </r>
  </si>
  <si>
    <r>
      <rPr>
        <sz val="10"/>
        <rFont val="宋体"/>
        <charset val="134"/>
      </rPr>
      <t>国有资本经营预算转移支付支出</t>
    </r>
  </si>
  <si>
    <t>——</t>
  </si>
  <si>
    <r>
      <rPr>
        <sz val="10"/>
        <rFont val="宋体"/>
        <charset val="134"/>
      </rPr>
      <t>上年结转</t>
    </r>
  </si>
  <si>
    <r>
      <rPr>
        <sz val="10"/>
        <rFont val="宋体"/>
        <charset val="134"/>
      </rPr>
      <t>国有资本经营预算调出资金</t>
    </r>
  </si>
  <si>
    <r>
      <rPr>
        <sz val="10"/>
        <rFont val="宋体"/>
        <charset val="134"/>
      </rPr>
      <t>结转下年</t>
    </r>
  </si>
  <si>
    <r>
      <rPr>
        <b/>
        <sz val="10"/>
        <rFont val="宋体"/>
        <charset val="134"/>
      </rPr>
      <t>收</t>
    </r>
    <r>
      <rPr>
        <b/>
        <sz val="10"/>
        <rFont val="Times New Roman"/>
        <family val="1"/>
        <charset val="0"/>
      </rPr>
      <t xml:space="preserve"> </t>
    </r>
    <r>
      <rPr>
        <b/>
        <sz val="10"/>
        <rFont val="宋体"/>
        <charset val="134"/>
      </rPr>
      <t>入</t>
    </r>
    <r>
      <rPr>
        <b/>
        <sz val="10"/>
        <rFont val="Times New Roman"/>
        <family val="1"/>
        <charset val="0"/>
      </rPr>
      <t xml:space="preserve"> </t>
    </r>
    <r>
      <rPr>
        <b/>
        <sz val="10"/>
        <rFont val="宋体"/>
        <charset val="134"/>
      </rPr>
      <t>总</t>
    </r>
    <r>
      <rPr>
        <b/>
        <sz val="10"/>
        <rFont val="Times New Roman"/>
        <family val="1"/>
        <charset val="0"/>
      </rPr>
      <t xml:space="preserve"> </t>
    </r>
    <r>
      <rPr>
        <b/>
        <sz val="10"/>
        <rFont val="宋体"/>
        <charset val="134"/>
      </rPr>
      <t>计</t>
    </r>
  </si>
  <si>
    <r>
      <rPr>
        <b/>
        <sz val="10"/>
        <rFont val="宋体"/>
        <charset val="134"/>
      </rPr>
      <t>支</t>
    </r>
    <r>
      <rPr>
        <b/>
        <sz val="10"/>
        <rFont val="Times New Roman"/>
        <family val="1"/>
        <charset val="0"/>
      </rPr>
      <t xml:space="preserve"> </t>
    </r>
    <r>
      <rPr>
        <b/>
        <sz val="10"/>
        <rFont val="宋体"/>
        <charset val="134"/>
      </rPr>
      <t>出</t>
    </r>
    <r>
      <rPr>
        <b/>
        <sz val="10"/>
        <rFont val="Times New Roman"/>
        <family val="1"/>
        <charset val="0"/>
      </rPr>
      <t xml:space="preserve"> </t>
    </r>
    <r>
      <rPr>
        <b/>
        <sz val="10"/>
        <rFont val="宋体"/>
        <charset val="134"/>
      </rPr>
      <t>总</t>
    </r>
    <r>
      <rPr>
        <b/>
        <sz val="10"/>
        <rFont val="Times New Roman"/>
        <family val="1"/>
        <charset val="0"/>
      </rPr>
      <t xml:space="preserve"> </t>
    </r>
    <r>
      <rPr>
        <b/>
        <sz val="10"/>
        <rFont val="宋体"/>
        <charset val="134"/>
      </rPr>
      <t>计</t>
    </r>
  </si>
  <si>
    <r>
      <rPr>
        <b/>
        <sz val="16"/>
        <rFont val="黑体"/>
        <family val="3"/>
        <charset val="134"/>
      </rPr>
      <t>表九、</t>
    </r>
    <r>
      <rPr>
        <b/>
        <sz val="16"/>
        <rFont val="Times New Roman"/>
        <family val="1"/>
        <charset val="0"/>
      </rPr>
      <t>2025</t>
    </r>
    <r>
      <rPr>
        <b/>
        <sz val="16"/>
        <rFont val="黑体"/>
        <family val="3"/>
        <charset val="134"/>
      </rPr>
      <t>年</t>
    </r>
    <r>
      <rPr>
        <b/>
        <sz val="16"/>
        <rFont val="Times New Roman"/>
        <family val="1"/>
        <charset val="0"/>
      </rPr>
      <t>“</t>
    </r>
    <r>
      <rPr>
        <b/>
        <sz val="16"/>
        <rFont val="黑体"/>
        <family val="3"/>
        <charset val="134"/>
      </rPr>
      <t>三公</t>
    </r>
    <r>
      <rPr>
        <b/>
        <sz val="16"/>
        <rFont val="Times New Roman"/>
        <family val="1"/>
        <charset val="0"/>
      </rPr>
      <t>”</t>
    </r>
    <r>
      <rPr>
        <b/>
        <sz val="16"/>
        <rFont val="黑体"/>
        <family val="3"/>
        <charset val="134"/>
      </rPr>
      <t>经费预算执行情况表</t>
    </r>
  </si>
  <si>
    <r>
      <rPr>
        <sz val="9"/>
        <rFont val="宋体"/>
        <charset val="134"/>
      </rPr>
      <t>序号</t>
    </r>
  </si>
  <si>
    <r>
      <rPr>
        <sz val="10"/>
        <rFont val="宋体"/>
        <charset val="134"/>
      </rPr>
      <t>支出项目名称</t>
    </r>
  </si>
  <si>
    <r>
      <t>2024</t>
    </r>
    <r>
      <rPr>
        <sz val="10"/>
        <rFont val="宋体"/>
        <charset val="134"/>
      </rPr>
      <t>年决算数</t>
    </r>
  </si>
  <si>
    <r>
      <t>2025</t>
    </r>
    <r>
      <rPr>
        <sz val="10"/>
        <rFont val="宋体"/>
        <charset val="134"/>
      </rPr>
      <t>年预算数</t>
    </r>
  </si>
  <si>
    <r>
      <t>2025</t>
    </r>
    <r>
      <rPr>
        <sz val="10"/>
        <rFont val="宋体"/>
        <charset val="134"/>
      </rPr>
      <t>年预计执行数</t>
    </r>
  </si>
  <si>
    <r>
      <rPr>
        <sz val="9"/>
        <rFont val="宋体"/>
        <charset val="134"/>
      </rPr>
      <t>备注</t>
    </r>
  </si>
  <si>
    <r>
      <rPr>
        <b/>
        <sz val="10"/>
        <rFont val="宋体"/>
        <charset val="134"/>
      </rPr>
      <t>全口径三公合计</t>
    </r>
  </si>
  <si>
    <r>
      <rPr>
        <sz val="10"/>
        <rFont val="宋体"/>
        <charset val="134"/>
      </rPr>
      <t>其中：使用公共财政拨款</t>
    </r>
  </si>
  <si>
    <r>
      <rPr>
        <b/>
        <sz val="10"/>
        <rFont val="宋体"/>
        <charset val="134"/>
      </rPr>
      <t>完成预算</t>
    </r>
    <r>
      <rPr>
        <b/>
        <sz val="10"/>
        <rFont val="Times New Roman"/>
        <family val="1"/>
        <charset val="0"/>
      </rPr>
      <t>%</t>
    </r>
  </si>
  <si>
    <r>
      <rPr>
        <b/>
        <sz val="10"/>
        <rFont val="宋体"/>
        <charset val="134"/>
      </rPr>
      <t>同比增减金额</t>
    </r>
  </si>
  <si>
    <r>
      <rPr>
        <b/>
        <sz val="10"/>
        <rFont val="宋体"/>
        <charset val="134"/>
      </rPr>
      <t>下降</t>
    </r>
    <r>
      <rPr>
        <b/>
        <sz val="10"/>
        <rFont val="Times New Roman"/>
        <family val="1"/>
        <charset val="0"/>
      </rPr>
      <t>%</t>
    </r>
  </si>
  <si>
    <r>
      <rPr>
        <sz val="10"/>
        <rFont val="宋体"/>
        <charset val="134"/>
      </rPr>
      <t>完成预算</t>
    </r>
    <r>
      <rPr>
        <sz val="10"/>
        <rFont val="Times New Roman"/>
        <family val="1"/>
        <charset val="0"/>
      </rPr>
      <t>%</t>
    </r>
  </si>
  <si>
    <r>
      <rPr>
        <sz val="10"/>
        <rFont val="宋体"/>
        <charset val="134"/>
      </rPr>
      <t>同比增减金额</t>
    </r>
  </si>
  <si>
    <r>
      <rPr>
        <sz val="10"/>
        <rFont val="宋体"/>
        <charset val="134"/>
      </rPr>
      <t>下降</t>
    </r>
    <r>
      <rPr>
        <sz val="10"/>
        <rFont val="Times New Roman"/>
        <family val="1"/>
        <charset val="0"/>
      </rPr>
      <t>%</t>
    </r>
  </si>
  <si>
    <r>
      <rPr>
        <b/>
        <sz val="10"/>
        <rFont val="宋体"/>
        <charset val="134"/>
      </rPr>
      <t>因公出国经费</t>
    </r>
  </si>
  <si>
    <r>
      <rPr>
        <b/>
        <sz val="10"/>
        <rFont val="宋体"/>
        <charset val="134"/>
      </rPr>
      <t>公务接待费</t>
    </r>
  </si>
  <si>
    <r>
      <rPr>
        <b/>
        <sz val="10"/>
        <rFont val="宋体"/>
        <charset val="134"/>
      </rPr>
      <t>公务用车购置及运行费合计</t>
    </r>
  </si>
  <si>
    <r>
      <rPr>
        <b/>
        <sz val="10"/>
        <rFont val="宋体"/>
        <charset val="134"/>
      </rPr>
      <t>公务用车购置费</t>
    </r>
  </si>
  <si>
    <r>
      <rPr>
        <b/>
        <sz val="10"/>
        <rFont val="宋体"/>
        <charset val="134"/>
      </rPr>
      <t>公务用车运行维护费</t>
    </r>
  </si>
  <si>
    <r>
      <rPr>
        <b/>
        <sz val="20"/>
        <rFont val="方正小标宋简体"/>
        <family val="4"/>
        <charset val="134"/>
      </rPr>
      <t>表十、三江县</t>
    </r>
    <r>
      <rPr>
        <b/>
        <sz val="20"/>
        <rFont val="Times New Roman"/>
        <family val="1"/>
        <charset val="0"/>
      </rPr>
      <t>2025</t>
    </r>
    <r>
      <rPr>
        <b/>
        <sz val="20"/>
        <rFont val="方正小标宋简体"/>
        <family val="4"/>
        <charset val="134"/>
      </rPr>
      <t>年其他社会保障基金预算执行情况</t>
    </r>
    <r>
      <rPr>
        <b/>
        <sz val="20"/>
        <rFont val="Times New Roman"/>
        <family val="1"/>
        <charset val="0"/>
      </rPr>
      <t xml:space="preserve">    </t>
    </r>
  </si>
  <si>
    <r>
      <rPr>
        <sz val="12"/>
        <rFont val="宋体"/>
        <charset val="134"/>
      </rPr>
      <t>单位</t>
    </r>
    <r>
      <rPr>
        <sz val="12"/>
        <rFont val="Times New Roman"/>
        <family val="1"/>
        <charset val="0"/>
      </rPr>
      <t xml:space="preserve"> </t>
    </r>
    <r>
      <rPr>
        <sz val="12"/>
        <rFont val="宋体"/>
        <charset val="134"/>
      </rPr>
      <t>：万元</t>
    </r>
  </si>
  <si>
    <r>
      <rPr>
        <sz val="11"/>
        <rFont val="宋体"/>
        <charset val="134"/>
      </rPr>
      <t>备注</t>
    </r>
  </si>
  <si>
    <r>
      <rPr>
        <b/>
        <sz val="12"/>
        <rFont val="宋体"/>
        <charset val="134"/>
      </rPr>
      <t>科</t>
    </r>
    <r>
      <rPr>
        <b/>
        <sz val="12"/>
        <rFont val="Times New Roman"/>
        <family val="1"/>
        <charset val="0"/>
      </rPr>
      <t xml:space="preserve">   </t>
    </r>
    <r>
      <rPr>
        <b/>
        <sz val="12"/>
        <rFont val="宋体"/>
        <charset val="134"/>
      </rPr>
      <t>目</t>
    </r>
  </si>
  <si>
    <r>
      <rPr>
        <b/>
        <sz val="12"/>
        <rFont val="宋体"/>
        <charset val="134"/>
      </rPr>
      <t>金</t>
    </r>
    <r>
      <rPr>
        <b/>
        <sz val="12"/>
        <rFont val="Times New Roman"/>
        <family val="1"/>
        <charset val="0"/>
      </rPr>
      <t xml:space="preserve">  </t>
    </r>
    <r>
      <rPr>
        <b/>
        <sz val="12"/>
        <rFont val="宋体"/>
        <charset val="134"/>
      </rPr>
      <t>额</t>
    </r>
  </si>
  <si>
    <r>
      <t>1</t>
    </r>
    <r>
      <rPr>
        <b/>
        <sz val="11"/>
        <rFont val="宋体"/>
        <charset val="134"/>
      </rPr>
      <t>、就业补助资金</t>
    </r>
  </si>
  <si>
    <r>
      <t xml:space="preserve">   </t>
    </r>
    <r>
      <rPr>
        <sz val="11"/>
        <rFont val="宋体"/>
        <charset val="134"/>
      </rPr>
      <t>其中：财政补助收入</t>
    </r>
  </si>
  <si>
    <r>
      <t xml:space="preserve">   </t>
    </r>
    <r>
      <rPr>
        <sz val="11"/>
        <rFont val="宋体"/>
        <charset val="134"/>
      </rPr>
      <t>其中：就业补助支出</t>
    </r>
  </si>
  <si>
    <r>
      <t xml:space="preserve">         </t>
    </r>
    <r>
      <rPr>
        <sz val="11"/>
        <rFont val="宋体"/>
        <charset val="134"/>
      </rPr>
      <t>补充小额贷款担保助支出</t>
    </r>
  </si>
  <si>
    <r>
      <t>2</t>
    </r>
    <r>
      <rPr>
        <b/>
        <sz val="11"/>
        <rFont val="宋体"/>
        <charset val="134"/>
      </rPr>
      <t>、城乡最低生活保障金</t>
    </r>
  </si>
  <si>
    <r>
      <t xml:space="preserve">   </t>
    </r>
    <r>
      <rPr>
        <sz val="11"/>
        <rFont val="宋体"/>
        <charset val="134"/>
      </rPr>
      <t>其中：上级财政补贴收入</t>
    </r>
  </si>
  <si>
    <r>
      <t xml:space="preserve">   </t>
    </r>
    <r>
      <rPr>
        <sz val="11"/>
        <rFont val="宋体"/>
        <charset val="134"/>
      </rPr>
      <t>其中：城乡最低生活保障金支出</t>
    </r>
  </si>
  <si>
    <r>
      <t>3</t>
    </r>
    <r>
      <rPr>
        <b/>
        <sz val="11"/>
        <rFont val="宋体"/>
        <charset val="134"/>
      </rPr>
      <t>、城乡医疗救助</t>
    </r>
  </si>
  <si>
    <r>
      <t xml:space="preserve">   </t>
    </r>
    <r>
      <rPr>
        <sz val="11"/>
        <rFont val="宋体"/>
        <charset val="134"/>
      </rPr>
      <t>其中：财政补贴收入</t>
    </r>
  </si>
  <si>
    <r>
      <t xml:space="preserve">   </t>
    </r>
    <r>
      <rPr>
        <sz val="11"/>
        <rFont val="宋体"/>
        <charset val="134"/>
      </rPr>
      <t>其中：救助支出</t>
    </r>
  </si>
  <si>
    <r>
      <t>4</t>
    </r>
    <r>
      <rPr>
        <b/>
        <sz val="11"/>
        <rFont val="宋体"/>
        <charset val="134"/>
      </rPr>
      <t>、城乡临时救助</t>
    </r>
  </si>
  <si>
    <r>
      <t xml:space="preserve">    </t>
    </r>
    <r>
      <rPr>
        <sz val="11"/>
        <rFont val="宋体"/>
        <charset val="134"/>
      </rPr>
      <t>其中：</t>
    </r>
    <r>
      <rPr>
        <sz val="11"/>
        <rFont val="Times New Roman"/>
        <family val="1"/>
        <charset val="0"/>
      </rPr>
      <t xml:space="preserve">  </t>
    </r>
    <r>
      <rPr>
        <sz val="11"/>
        <rFont val="宋体"/>
        <charset val="134"/>
      </rPr>
      <t>临时救助支出</t>
    </r>
  </si>
  <si>
    <r>
      <t>5</t>
    </r>
    <r>
      <rPr>
        <b/>
        <sz val="11"/>
        <rFont val="宋体"/>
        <charset val="134"/>
      </rPr>
      <t>、疾病应急救助基金</t>
    </r>
  </si>
  <si>
    <r>
      <t xml:space="preserve">   </t>
    </r>
    <r>
      <rPr>
        <sz val="11"/>
        <rFont val="宋体"/>
        <charset val="134"/>
      </rPr>
      <t>其中：疾病应急救支出</t>
    </r>
  </si>
  <si>
    <r>
      <t>6</t>
    </r>
    <r>
      <rPr>
        <b/>
        <sz val="11"/>
        <rFont val="宋体"/>
        <charset val="134"/>
      </rPr>
      <t>、小额贷款财政贴息基金</t>
    </r>
  </si>
  <si>
    <t>√</t>
  </si>
  <si>
    <r>
      <t xml:space="preserve">   </t>
    </r>
    <r>
      <rPr>
        <sz val="11"/>
        <rFont val="宋体"/>
        <charset val="134"/>
      </rPr>
      <t>其中：</t>
    </r>
    <r>
      <rPr>
        <sz val="11"/>
        <rFont val="Times New Roman"/>
        <family val="1"/>
        <charset val="0"/>
      </rPr>
      <t xml:space="preserve"> </t>
    </r>
    <r>
      <rPr>
        <sz val="11"/>
        <rFont val="宋体"/>
        <charset val="134"/>
      </rPr>
      <t>额担保贷款贴息支出</t>
    </r>
  </si>
  <si>
    <r>
      <rPr>
        <b/>
        <sz val="16"/>
        <rFont val="黑体"/>
        <family val="3"/>
        <charset val="134"/>
      </rPr>
      <t>表十一、三江县</t>
    </r>
    <r>
      <rPr>
        <b/>
        <sz val="16"/>
        <rFont val="Times New Roman"/>
        <family val="1"/>
        <charset val="0"/>
      </rPr>
      <t>2026</t>
    </r>
    <r>
      <rPr>
        <b/>
        <sz val="16"/>
        <rFont val="黑体"/>
        <family val="3"/>
        <charset val="134"/>
      </rPr>
      <t>年一般公共预算收入预算表</t>
    </r>
  </si>
  <si>
    <r>
      <rPr>
        <b/>
        <sz val="12"/>
        <rFont val="宋体"/>
        <charset val="134"/>
      </rPr>
      <t>项目</t>
    </r>
  </si>
  <si>
    <r>
      <t>2025</t>
    </r>
    <r>
      <rPr>
        <b/>
        <sz val="12"/>
        <rFont val="宋体"/>
        <charset val="134"/>
      </rPr>
      <t>年预算数</t>
    </r>
  </si>
  <si>
    <r>
      <t>2025</t>
    </r>
    <r>
      <rPr>
        <b/>
        <sz val="12"/>
        <rFont val="宋体"/>
        <charset val="134"/>
      </rPr>
      <t>年执行数</t>
    </r>
  </si>
  <si>
    <r>
      <t>2026</t>
    </r>
    <r>
      <rPr>
        <b/>
        <sz val="12"/>
        <rFont val="宋体"/>
        <charset val="134"/>
      </rPr>
      <t>年预算数</t>
    </r>
  </si>
  <si>
    <r>
      <rPr>
        <b/>
        <sz val="12"/>
        <rFont val="宋体"/>
        <charset val="134"/>
      </rPr>
      <t>比上年执行数增长</t>
    </r>
    <r>
      <rPr>
        <b/>
        <sz val="12"/>
        <rFont val="Times New Roman"/>
        <family val="1"/>
        <charset val="0"/>
      </rPr>
      <t>%</t>
    </r>
  </si>
  <si>
    <r>
      <t xml:space="preserve">    </t>
    </r>
    <r>
      <rPr>
        <sz val="11"/>
        <rFont val="宋体"/>
        <charset val="134"/>
      </rPr>
      <t>环保税</t>
    </r>
  </si>
  <si>
    <r>
      <t xml:space="preserve">    </t>
    </r>
    <r>
      <rPr>
        <sz val="9"/>
        <rFont val="宋体"/>
        <charset val="134"/>
      </rPr>
      <t>国有资源（资产）有偿使用收入</t>
    </r>
  </si>
  <si>
    <t xml:space="preserve"> </t>
  </si>
  <si>
    <r>
      <t>表十二、三江县</t>
    </r>
    <r>
      <rPr>
        <b/>
        <sz val="16"/>
        <rFont val="Times New Roman"/>
        <family val="1"/>
        <charset val="0"/>
      </rPr>
      <t>2026</t>
    </r>
    <r>
      <rPr>
        <b/>
        <sz val="16"/>
        <rFont val="黑体"/>
        <family val="1"/>
        <charset val="0"/>
      </rPr>
      <t>年一般公共预算支出表</t>
    </r>
  </si>
  <si>
    <r>
      <rPr>
        <sz val="10"/>
        <rFont val="宋体"/>
        <charset val="134"/>
      </rPr>
      <t>科目编码</t>
    </r>
  </si>
  <si>
    <r>
      <t>2026</t>
    </r>
    <r>
      <rPr>
        <b/>
        <sz val="10"/>
        <rFont val="宋体"/>
        <charset val="134"/>
      </rPr>
      <t>年预算数</t>
    </r>
  </si>
  <si>
    <r>
      <rPr>
        <b/>
        <sz val="10"/>
        <rFont val="宋体"/>
        <charset val="134"/>
      </rPr>
      <t>财力性专项</t>
    </r>
  </si>
  <si>
    <r>
      <rPr>
        <b/>
        <sz val="10"/>
        <rFont val="宋体"/>
        <charset val="134"/>
      </rPr>
      <t>上级专项</t>
    </r>
  </si>
  <si>
    <r>
      <rPr>
        <b/>
        <sz val="10"/>
        <rFont val="宋体"/>
        <charset val="134"/>
      </rPr>
      <t>上级结转</t>
    </r>
  </si>
  <si>
    <r>
      <rPr>
        <b/>
        <sz val="10"/>
        <rFont val="宋体"/>
        <charset val="134"/>
      </rPr>
      <t>县本级预留</t>
    </r>
  </si>
  <si>
    <r>
      <rPr>
        <b/>
        <sz val="10"/>
        <rFont val="宋体"/>
        <charset val="134"/>
      </rPr>
      <t>部门预算提取</t>
    </r>
  </si>
  <si>
    <r>
      <rPr>
        <b/>
        <sz val="10"/>
        <rFont val="宋体"/>
        <charset val="134"/>
      </rPr>
      <t>预算数为决算（执行）数</t>
    </r>
    <r>
      <rPr>
        <b/>
        <sz val="10"/>
        <rFont val="Times New Roman"/>
        <family val="1"/>
        <charset val="0"/>
      </rPr>
      <t>%</t>
    </r>
  </si>
  <si>
    <r>
      <t xml:space="preserve">    </t>
    </r>
    <r>
      <rPr>
        <b/>
        <sz val="10"/>
        <rFont val="宋体"/>
        <charset val="134"/>
      </rPr>
      <t>人大事务</t>
    </r>
  </si>
  <si>
    <t>2010101</t>
  </si>
  <si>
    <r>
      <t xml:space="preserve">      </t>
    </r>
    <r>
      <rPr>
        <sz val="10"/>
        <rFont val="宋体"/>
        <charset val="134"/>
      </rPr>
      <t>行政运行</t>
    </r>
  </si>
  <si>
    <t>2010102</t>
  </si>
  <si>
    <r>
      <t xml:space="preserve">      </t>
    </r>
    <r>
      <rPr>
        <sz val="10"/>
        <rFont val="宋体"/>
        <charset val="134"/>
      </rPr>
      <t>一般行政管理事务</t>
    </r>
  </si>
  <si>
    <t>2010103</t>
  </si>
  <si>
    <r>
      <t xml:space="preserve">      </t>
    </r>
    <r>
      <rPr>
        <sz val="10"/>
        <rFont val="宋体"/>
        <charset val="134"/>
      </rPr>
      <t>机关服务</t>
    </r>
  </si>
  <si>
    <t>2010104</t>
  </si>
  <si>
    <r>
      <t xml:space="preserve">      </t>
    </r>
    <r>
      <rPr>
        <sz val="10"/>
        <rFont val="宋体"/>
        <charset val="134"/>
      </rPr>
      <t>人大会议</t>
    </r>
  </si>
  <si>
    <t>2010105</t>
  </si>
  <si>
    <r>
      <t xml:space="preserve">      </t>
    </r>
    <r>
      <rPr>
        <sz val="10"/>
        <rFont val="宋体"/>
        <charset val="134"/>
      </rPr>
      <t>人大立法</t>
    </r>
  </si>
  <si>
    <t>2010106</t>
  </si>
  <si>
    <r>
      <t xml:space="preserve">      </t>
    </r>
    <r>
      <rPr>
        <sz val="10"/>
        <rFont val="宋体"/>
        <charset val="134"/>
      </rPr>
      <t>人大监督</t>
    </r>
  </si>
  <si>
    <t>2010107</t>
  </si>
  <si>
    <r>
      <t xml:space="preserve">      </t>
    </r>
    <r>
      <rPr>
        <sz val="10"/>
        <rFont val="宋体"/>
        <charset val="134"/>
      </rPr>
      <t>人大代表履职能力提升</t>
    </r>
  </si>
  <si>
    <t>2010108</t>
  </si>
  <si>
    <r>
      <t xml:space="preserve">      </t>
    </r>
    <r>
      <rPr>
        <sz val="10"/>
        <rFont val="宋体"/>
        <charset val="134"/>
      </rPr>
      <t>代表工作</t>
    </r>
  </si>
  <si>
    <t>2010109</t>
  </si>
  <si>
    <r>
      <t xml:space="preserve">      </t>
    </r>
    <r>
      <rPr>
        <sz val="10"/>
        <rFont val="宋体"/>
        <charset val="134"/>
      </rPr>
      <t>人大信访工作</t>
    </r>
  </si>
  <si>
    <t>2010150</t>
  </si>
  <si>
    <r>
      <t xml:space="preserve">      </t>
    </r>
    <r>
      <rPr>
        <sz val="10"/>
        <rFont val="宋体"/>
        <charset val="134"/>
      </rPr>
      <t>事业运行</t>
    </r>
  </si>
  <si>
    <t xml:space="preserve">                           </t>
  </si>
  <si>
    <t>2010199</t>
  </si>
  <si>
    <r>
      <t xml:space="preserve">      </t>
    </r>
    <r>
      <rPr>
        <sz val="10"/>
        <rFont val="宋体"/>
        <charset val="134"/>
      </rPr>
      <t>其他人大事务支出</t>
    </r>
  </si>
  <si>
    <r>
      <t xml:space="preserve">    </t>
    </r>
    <r>
      <rPr>
        <b/>
        <sz val="10"/>
        <rFont val="宋体"/>
        <charset val="134"/>
      </rPr>
      <t>政协事务</t>
    </r>
  </si>
  <si>
    <t>2010201</t>
  </si>
  <si>
    <t>2010202</t>
  </si>
  <si>
    <t>2010203</t>
  </si>
  <si>
    <t>2010204</t>
  </si>
  <si>
    <r>
      <t xml:space="preserve">      </t>
    </r>
    <r>
      <rPr>
        <sz val="10"/>
        <rFont val="宋体"/>
        <charset val="134"/>
      </rPr>
      <t>政协会议</t>
    </r>
  </si>
  <si>
    <t>2010205</t>
  </si>
  <si>
    <r>
      <t xml:space="preserve">      </t>
    </r>
    <r>
      <rPr>
        <sz val="10"/>
        <rFont val="宋体"/>
        <charset val="134"/>
      </rPr>
      <t>委员视察</t>
    </r>
  </si>
  <si>
    <t>2010206</t>
  </si>
  <si>
    <r>
      <t xml:space="preserve">      </t>
    </r>
    <r>
      <rPr>
        <sz val="10"/>
        <rFont val="宋体"/>
        <charset val="134"/>
      </rPr>
      <t>参政议政</t>
    </r>
  </si>
  <si>
    <t>2010250</t>
  </si>
  <si>
    <t>2010299</t>
  </si>
  <si>
    <r>
      <t xml:space="preserve">      </t>
    </r>
    <r>
      <rPr>
        <sz val="10"/>
        <rFont val="宋体"/>
        <charset val="134"/>
      </rPr>
      <t>其他政协事务支出</t>
    </r>
  </si>
  <si>
    <r>
      <t xml:space="preserve">    </t>
    </r>
    <r>
      <rPr>
        <b/>
        <sz val="10"/>
        <rFont val="宋体"/>
        <charset val="134"/>
      </rPr>
      <t>政府办公厅（室）及相关机构事务</t>
    </r>
  </si>
  <si>
    <t>2010301</t>
  </si>
  <si>
    <t>2010302</t>
  </si>
  <si>
    <t>2010303</t>
  </si>
  <si>
    <t>2010304</t>
  </si>
  <si>
    <r>
      <t xml:space="preserve">      </t>
    </r>
    <r>
      <rPr>
        <sz val="10"/>
        <rFont val="宋体"/>
        <charset val="134"/>
      </rPr>
      <t>专项服务</t>
    </r>
  </si>
  <si>
    <t>2010305</t>
  </si>
  <si>
    <r>
      <t xml:space="preserve">      </t>
    </r>
    <r>
      <rPr>
        <sz val="10"/>
        <rFont val="宋体"/>
        <charset val="134"/>
      </rPr>
      <t>专项业务及机关事务管理</t>
    </r>
  </si>
  <si>
    <t>2010306</t>
  </si>
  <si>
    <r>
      <t xml:space="preserve">      </t>
    </r>
    <r>
      <rPr>
        <sz val="10"/>
        <rFont val="宋体"/>
        <charset val="134"/>
      </rPr>
      <t>政务公开审批</t>
    </r>
  </si>
  <si>
    <t>2010309</t>
  </si>
  <si>
    <r>
      <t xml:space="preserve">      </t>
    </r>
    <r>
      <rPr>
        <sz val="10"/>
        <rFont val="宋体"/>
        <charset val="134"/>
      </rPr>
      <t>参事事务</t>
    </r>
  </si>
  <si>
    <t>2010350</t>
  </si>
  <si>
    <t>2010399</t>
  </si>
  <si>
    <r>
      <t xml:space="preserve">      </t>
    </r>
    <r>
      <rPr>
        <sz val="10"/>
        <rFont val="宋体"/>
        <charset val="134"/>
      </rPr>
      <t>其他政府办公厅（室）及相关机构事务支出</t>
    </r>
  </si>
  <si>
    <r>
      <t xml:space="preserve">    </t>
    </r>
    <r>
      <rPr>
        <b/>
        <sz val="10"/>
        <rFont val="宋体"/>
        <charset val="134"/>
      </rPr>
      <t>发展与改革事务</t>
    </r>
  </si>
  <si>
    <t>2010401</t>
  </si>
  <si>
    <t>2010402</t>
  </si>
  <si>
    <t>2010403</t>
  </si>
  <si>
    <t>2010404</t>
  </si>
  <si>
    <r>
      <t xml:space="preserve">      </t>
    </r>
    <r>
      <rPr>
        <sz val="10"/>
        <rFont val="宋体"/>
        <charset val="134"/>
      </rPr>
      <t>战略规划与实施</t>
    </r>
  </si>
  <si>
    <t>2010405</t>
  </si>
  <si>
    <r>
      <t xml:space="preserve">      </t>
    </r>
    <r>
      <rPr>
        <sz val="10"/>
        <rFont val="宋体"/>
        <charset val="134"/>
      </rPr>
      <t>日常经济运行调节</t>
    </r>
  </si>
  <si>
    <t>2010406</t>
  </si>
  <si>
    <r>
      <t xml:space="preserve">      </t>
    </r>
    <r>
      <rPr>
        <sz val="10"/>
        <rFont val="宋体"/>
        <charset val="134"/>
      </rPr>
      <t>社会事业发展规划</t>
    </r>
  </si>
  <si>
    <t>2010407</t>
  </si>
  <si>
    <r>
      <t xml:space="preserve">      </t>
    </r>
    <r>
      <rPr>
        <sz val="10"/>
        <rFont val="宋体"/>
        <charset val="134"/>
      </rPr>
      <t>经济体制改革研究</t>
    </r>
  </si>
  <si>
    <t>2010408</t>
  </si>
  <si>
    <r>
      <t xml:space="preserve">      </t>
    </r>
    <r>
      <rPr>
        <sz val="10"/>
        <rFont val="宋体"/>
        <charset val="134"/>
      </rPr>
      <t>物价管理</t>
    </r>
  </si>
  <si>
    <t>2010450</t>
  </si>
  <si>
    <t>2010499</t>
  </si>
  <si>
    <r>
      <t xml:space="preserve">      </t>
    </r>
    <r>
      <rPr>
        <sz val="10"/>
        <rFont val="宋体"/>
        <charset val="134"/>
      </rPr>
      <t>其他发展与改革事务支出</t>
    </r>
  </si>
  <si>
    <r>
      <t xml:space="preserve">    </t>
    </r>
    <r>
      <rPr>
        <b/>
        <sz val="10"/>
        <rFont val="宋体"/>
        <charset val="134"/>
      </rPr>
      <t>统计信息事务</t>
    </r>
  </si>
  <si>
    <t>2010501</t>
  </si>
  <si>
    <t>2010502</t>
  </si>
  <si>
    <t>2010503</t>
  </si>
  <si>
    <t>2010504</t>
  </si>
  <si>
    <r>
      <t xml:space="preserve">      </t>
    </r>
    <r>
      <rPr>
        <sz val="10"/>
        <rFont val="宋体"/>
        <charset val="134"/>
      </rPr>
      <t>信息事务</t>
    </r>
  </si>
  <si>
    <t>2010505</t>
  </si>
  <si>
    <r>
      <t xml:space="preserve">      </t>
    </r>
    <r>
      <rPr>
        <sz val="10"/>
        <rFont val="宋体"/>
        <charset val="134"/>
      </rPr>
      <t>专项统计业务</t>
    </r>
  </si>
  <si>
    <t>2010506</t>
  </si>
  <si>
    <r>
      <t xml:space="preserve">      </t>
    </r>
    <r>
      <rPr>
        <sz val="10"/>
        <rFont val="宋体"/>
        <charset val="134"/>
      </rPr>
      <t>统计管理</t>
    </r>
  </si>
  <si>
    <t>2010507</t>
  </si>
  <si>
    <r>
      <t xml:space="preserve">      </t>
    </r>
    <r>
      <rPr>
        <sz val="10"/>
        <rFont val="宋体"/>
        <charset val="134"/>
      </rPr>
      <t>专项普查活动</t>
    </r>
  </si>
  <si>
    <t>2010508</t>
  </si>
  <si>
    <r>
      <t xml:space="preserve">      </t>
    </r>
    <r>
      <rPr>
        <sz val="10"/>
        <rFont val="宋体"/>
        <charset val="134"/>
      </rPr>
      <t>统计抽样调查</t>
    </r>
  </si>
  <si>
    <t>2010550</t>
  </si>
  <si>
    <t>2010599</t>
  </si>
  <si>
    <r>
      <t xml:space="preserve">      </t>
    </r>
    <r>
      <rPr>
        <sz val="10"/>
        <rFont val="宋体"/>
        <charset val="134"/>
      </rPr>
      <t>其他统计信息事务支出</t>
    </r>
  </si>
  <si>
    <r>
      <t xml:space="preserve">    </t>
    </r>
    <r>
      <rPr>
        <b/>
        <sz val="10"/>
        <rFont val="宋体"/>
        <charset val="134"/>
      </rPr>
      <t>财政事务</t>
    </r>
  </si>
  <si>
    <t>2010601</t>
  </si>
  <si>
    <t>2010602</t>
  </si>
  <si>
    <t>2010603</t>
  </si>
  <si>
    <t>2010604</t>
  </si>
  <si>
    <r>
      <t xml:space="preserve">      </t>
    </r>
    <r>
      <rPr>
        <sz val="10"/>
        <rFont val="宋体"/>
        <charset val="134"/>
      </rPr>
      <t>预算改革业务</t>
    </r>
  </si>
  <si>
    <t>2010605</t>
  </si>
  <si>
    <r>
      <t xml:space="preserve">      </t>
    </r>
    <r>
      <rPr>
        <sz val="10"/>
        <rFont val="宋体"/>
        <charset val="134"/>
      </rPr>
      <t>财政国库业务</t>
    </r>
  </si>
  <si>
    <t>2010606</t>
  </si>
  <si>
    <r>
      <t xml:space="preserve">      </t>
    </r>
    <r>
      <rPr>
        <sz val="10"/>
        <rFont val="宋体"/>
        <charset val="134"/>
      </rPr>
      <t>财政监察</t>
    </r>
  </si>
  <si>
    <t>2010607</t>
  </si>
  <si>
    <r>
      <t xml:space="preserve">      </t>
    </r>
    <r>
      <rPr>
        <sz val="10"/>
        <rFont val="宋体"/>
        <charset val="134"/>
      </rPr>
      <t>信息化建设</t>
    </r>
  </si>
  <si>
    <t>2010608</t>
  </si>
  <si>
    <r>
      <t xml:space="preserve">      </t>
    </r>
    <r>
      <rPr>
        <sz val="10"/>
        <rFont val="宋体"/>
        <charset val="134"/>
      </rPr>
      <t>财政委托业务支出</t>
    </r>
  </si>
  <si>
    <t>2010650</t>
  </si>
  <si>
    <t>2010699</t>
  </si>
  <si>
    <r>
      <t xml:space="preserve">      </t>
    </r>
    <r>
      <rPr>
        <sz val="10"/>
        <rFont val="宋体"/>
        <charset val="134"/>
      </rPr>
      <t>其他财政事务支出</t>
    </r>
  </si>
  <si>
    <r>
      <t xml:space="preserve">    </t>
    </r>
    <r>
      <rPr>
        <b/>
        <sz val="10"/>
        <rFont val="宋体"/>
        <charset val="134"/>
      </rPr>
      <t>税收事务</t>
    </r>
  </si>
  <si>
    <t>2010701</t>
  </si>
  <si>
    <t>2010702</t>
  </si>
  <si>
    <t>2010703</t>
  </si>
  <si>
    <t>2010709</t>
  </si>
  <si>
    <t>2010710</t>
  </si>
  <si>
    <r>
      <t xml:space="preserve">      </t>
    </r>
    <r>
      <rPr>
        <sz val="10"/>
        <rFont val="宋体"/>
        <charset val="134"/>
      </rPr>
      <t>税收业务</t>
    </r>
  </si>
  <si>
    <t>2010750</t>
  </si>
  <si>
    <t>2010799</t>
  </si>
  <si>
    <r>
      <t xml:space="preserve">      </t>
    </r>
    <r>
      <rPr>
        <sz val="10"/>
        <rFont val="宋体"/>
        <charset val="134"/>
      </rPr>
      <t>其他税收事务支出</t>
    </r>
  </si>
  <si>
    <r>
      <t xml:space="preserve">    </t>
    </r>
    <r>
      <rPr>
        <b/>
        <sz val="10"/>
        <rFont val="宋体"/>
        <charset val="134"/>
      </rPr>
      <t>审计事务</t>
    </r>
  </si>
  <si>
    <t>2010801</t>
  </si>
  <si>
    <t>2010802</t>
  </si>
  <si>
    <t>2010803</t>
  </si>
  <si>
    <t>2010804</t>
  </si>
  <si>
    <r>
      <t xml:space="preserve">      </t>
    </r>
    <r>
      <rPr>
        <sz val="10"/>
        <rFont val="宋体"/>
        <charset val="134"/>
      </rPr>
      <t>审计业务</t>
    </r>
  </si>
  <si>
    <t>2010805</t>
  </si>
  <si>
    <r>
      <t xml:space="preserve">      </t>
    </r>
    <r>
      <rPr>
        <sz val="10"/>
        <rFont val="宋体"/>
        <charset val="134"/>
      </rPr>
      <t>审计管理</t>
    </r>
  </si>
  <si>
    <t>2010806</t>
  </si>
  <si>
    <t>2010850</t>
  </si>
  <si>
    <t>2010899</t>
  </si>
  <si>
    <r>
      <t xml:space="preserve">      </t>
    </r>
    <r>
      <rPr>
        <sz val="10"/>
        <rFont val="宋体"/>
        <charset val="134"/>
      </rPr>
      <t>其他审计事务支出</t>
    </r>
  </si>
  <si>
    <r>
      <t xml:space="preserve">    </t>
    </r>
    <r>
      <rPr>
        <b/>
        <sz val="10"/>
        <rFont val="宋体"/>
        <charset val="134"/>
      </rPr>
      <t>海关事务</t>
    </r>
  </si>
  <si>
    <t>2010901</t>
  </si>
  <si>
    <t>2010902</t>
  </si>
  <si>
    <t>2010903</t>
  </si>
  <si>
    <t>2010905</t>
  </si>
  <si>
    <r>
      <t xml:space="preserve">      </t>
    </r>
    <r>
      <rPr>
        <sz val="10"/>
        <rFont val="宋体"/>
        <charset val="134"/>
      </rPr>
      <t>缉私办案</t>
    </r>
  </si>
  <si>
    <t>2010907</t>
  </si>
  <si>
    <r>
      <t xml:space="preserve">      </t>
    </r>
    <r>
      <rPr>
        <sz val="10"/>
        <rFont val="宋体"/>
        <charset val="134"/>
      </rPr>
      <t>口岸管理</t>
    </r>
  </si>
  <si>
    <t>2010908</t>
  </si>
  <si>
    <t>2010909</t>
  </si>
  <si>
    <r>
      <t xml:space="preserve">      </t>
    </r>
    <r>
      <rPr>
        <sz val="10"/>
        <rFont val="宋体"/>
        <charset val="134"/>
      </rPr>
      <t>海关关务</t>
    </r>
  </si>
  <si>
    <t>2010910</t>
  </si>
  <si>
    <r>
      <t xml:space="preserve">      </t>
    </r>
    <r>
      <rPr>
        <sz val="10"/>
        <rFont val="宋体"/>
        <charset val="134"/>
      </rPr>
      <t>关税征管</t>
    </r>
  </si>
  <si>
    <t>2010911</t>
  </si>
  <si>
    <r>
      <t xml:space="preserve">      </t>
    </r>
    <r>
      <rPr>
        <sz val="10"/>
        <rFont val="宋体"/>
        <charset val="134"/>
      </rPr>
      <t>海关监管</t>
    </r>
  </si>
  <si>
    <t>2010912</t>
  </si>
  <si>
    <r>
      <t xml:space="preserve">      </t>
    </r>
    <r>
      <rPr>
        <sz val="10"/>
        <rFont val="宋体"/>
        <charset val="134"/>
      </rPr>
      <t>检验检疫</t>
    </r>
  </si>
  <si>
    <t>2010950</t>
  </si>
  <si>
    <t>2010999</t>
  </si>
  <si>
    <r>
      <t xml:space="preserve">      </t>
    </r>
    <r>
      <rPr>
        <sz val="10"/>
        <rFont val="宋体"/>
        <charset val="134"/>
      </rPr>
      <t>其他海关事务支出</t>
    </r>
  </si>
  <si>
    <r>
      <t xml:space="preserve">    </t>
    </r>
    <r>
      <rPr>
        <b/>
        <sz val="10"/>
        <rFont val="宋体"/>
        <charset val="134"/>
      </rPr>
      <t>纪检监察事务</t>
    </r>
  </si>
  <si>
    <t>2011101</t>
  </si>
  <si>
    <t>2011102</t>
  </si>
  <si>
    <t>2011103</t>
  </si>
  <si>
    <t>2011104</t>
  </si>
  <si>
    <r>
      <t xml:space="preserve">      </t>
    </r>
    <r>
      <rPr>
        <sz val="10"/>
        <rFont val="宋体"/>
        <charset val="134"/>
      </rPr>
      <t>大案要案查处</t>
    </r>
  </si>
  <si>
    <t>2011105</t>
  </si>
  <si>
    <r>
      <t xml:space="preserve">      </t>
    </r>
    <r>
      <rPr>
        <sz val="10"/>
        <rFont val="宋体"/>
        <charset val="134"/>
      </rPr>
      <t>派驻派出机构</t>
    </r>
  </si>
  <si>
    <t>2011106</t>
  </si>
  <si>
    <r>
      <t xml:space="preserve">      </t>
    </r>
    <r>
      <rPr>
        <sz val="10"/>
        <rFont val="宋体"/>
        <charset val="134"/>
      </rPr>
      <t>巡视工作</t>
    </r>
  </si>
  <si>
    <t>2011150</t>
  </si>
  <si>
    <t>2011199</t>
  </si>
  <si>
    <r>
      <t xml:space="preserve">      </t>
    </r>
    <r>
      <rPr>
        <sz val="10"/>
        <rFont val="宋体"/>
        <charset val="134"/>
      </rPr>
      <t>其他纪检监察事务支出</t>
    </r>
  </si>
  <si>
    <r>
      <t xml:space="preserve">    </t>
    </r>
    <r>
      <rPr>
        <b/>
        <sz val="10"/>
        <rFont val="宋体"/>
        <charset val="134"/>
      </rPr>
      <t>商贸事务</t>
    </r>
  </si>
  <si>
    <t>2011301</t>
  </si>
  <si>
    <t>2011302</t>
  </si>
  <si>
    <t>2011303</t>
  </si>
  <si>
    <t>2011304</t>
  </si>
  <si>
    <r>
      <t xml:space="preserve">      </t>
    </r>
    <r>
      <rPr>
        <sz val="10"/>
        <rFont val="宋体"/>
        <charset val="134"/>
      </rPr>
      <t>对外贸易管理</t>
    </r>
  </si>
  <si>
    <t>2011305</t>
  </si>
  <si>
    <r>
      <t xml:space="preserve">      </t>
    </r>
    <r>
      <rPr>
        <sz val="10"/>
        <rFont val="宋体"/>
        <charset val="134"/>
      </rPr>
      <t>国际经济合作</t>
    </r>
  </si>
  <si>
    <t>2011306</t>
  </si>
  <si>
    <r>
      <t xml:space="preserve">      </t>
    </r>
    <r>
      <rPr>
        <sz val="10"/>
        <rFont val="宋体"/>
        <charset val="134"/>
      </rPr>
      <t>外资管理</t>
    </r>
  </si>
  <si>
    <t>2011307</t>
  </si>
  <si>
    <r>
      <t xml:space="preserve">      </t>
    </r>
    <r>
      <rPr>
        <sz val="10"/>
        <rFont val="宋体"/>
        <charset val="134"/>
      </rPr>
      <t>国内贸易管理</t>
    </r>
  </si>
  <si>
    <t>2011308</t>
  </si>
  <si>
    <r>
      <t xml:space="preserve">      </t>
    </r>
    <r>
      <rPr>
        <sz val="10"/>
        <rFont val="宋体"/>
        <charset val="134"/>
      </rPr>
      <t>招商引资</t>
    </r>
  </si>
  <si>
    <t>2011350</t>
  </si>
  <si>
    <t>2011399</t>
  </si>
  <si>
    <r>
      <t xml:space="preserve">      </t>
    </r>
    <r>
      <rPr>
        <sz val="10"/>
        <rFont val="宋体"/>
        <charset val="134"/>
      </rPr>
      <t>其他商贸事务支出</t>
    </r>
  </si>
  <si>
    <r>
      <t xml:space="preserve">    </t>
    </r>
    <r>
      <rPr>
        <b/>
        <sz val="10"/>
        <rFont val="宋体"/>
        <charset val="134"/>
      </rPr>
      <t>知识产权事务</t>
    </r>
  </si>
  <si>
    <t>2011401</t>
  </si>
  <si>
    <t>2011402</t>
  </si>
  <si>
    <t>2011403</t>
  </si>
  <si>
    <t>2011404</t>
  </si>
  <si>
    <r>
      <t xml:space="preserve">      </t>
    </r>
    <r>
      <rPr>
        <sz val="10"/>
        <rFont val="宋体"/>
        <charset val="134"/>
      </rPr>
      <t>专利审批</t>
    </r>
  </si>
  <si>
    <t>2011405</t>
  </si>
  <si>
    <r>
      <t xml:space="preserve">      </t>
    </r>
    <r>
      <rPr>
        <sz val="10"/>
        <rFont val="宋体"/>
        <charset val="134"/>
      </rPr>
      <t>知识产权战略和规划</t>
    </r>
  </si>
  <si>
    <t>2011408</t>
  </si>
  <si>
    <r>
      <t xml:space="preserve">      </t>
    </r>
    <r>
      <rPr>
        <sz val="10"/>
        <rFont val="宋体"/>
        <charset val="134"/>
      </rPr>
      <t>国际合作与交流</t>
    </r>
  </si>
  <si>
    <t>2011409</t>
  </si>
  <si>
    <r>
      <t xml:space="preserve">      </t>
    </r>
    <r>
      <rPr>
        <sz val="10"/>
        <rFont val="宋体"/>
        <charset val="134"/>
      </rPr>
      <t>知识产权宏观管理</t>
    </r>
  </si>
  <si>
    <t>2011410</t>
  </si>
  <si>
    <r>
      <t xml:space="preserve">      </t>
    </r>
    <r>
      <rPr>
        <sz val="10"/>
        <rFont val="宋体"/>
        <charset val="134"/>
      </rPr>
      <t>商标管理</t>
    </r>
  </si>
  <si>
    <t>2011411</t>
  </si>
  <si>
    <r>
      <t xml:space="preserve">      </t>
    </r>
    <r>
      <rPr>
        <sz val="10"/>
        <rFont val="宋体"/>
        <charset val="134"/>
      </rPr>
      <t>原产地地理标志管理</t>
    </r>
  </si>
  <si>
    <t>2011450</t>
  </si>
  <si>
    <t>2011499</t>
  </si>
  <si>
    <r>
      <t xml:space="preserve">      </t>
    </r>
    <r>
      <rPr>
        <sz val="10"/>
        <rFont val="宋体"/>
        <charset val="134"/>
      </rPr>
      <t>其他知识产权事务支出</t>
    </r>
  </si>
  <si>
    <r>
      <t xml:space="preserve">    </t>
    </r>
    <r>
      <rPr>
        <b/>
        <sz val="10"/>
        <rFont val="宋体"/>
        <charset val="134"/>
      </rPr>
      <t>民族事务</t>
    </r>
  </si>
  <si>
    <t>2012301</t>
  </si>
  <si>
    <t>2012302</t>
  </si>
  <si>
    <t>2012303</t>
  </si>
  <si>
    <t>2012304</t>
  </si>
  <si>
    <r>
      <t xml:space="preserve">      </t>
    </r>
    <r>
      <rPr>
        <sz val="10"/>
        <rFont val="宋体"/>
        <charset val="134"/>
      </rPr>
      <t>民族工作专项</t>
    </r>
  </si>
  <si>
    <t>2012350</t>
  </si>
  <si>
    <t>2012399</t>
  </si>
  <si>
    <r>
      <t xml:space="preserve">      </t>
    </r>
    <r>
      <rPr>
        <sz val="10"/>
        <rFont val="宋体"/>
        <charset val="134"/>
      </rPr>
      <t>其他民族事务支出</t>
    </r>
  </si>
  <si>
    <r>
      <t xml:space="preserve">    </t>
    </r>
    <r>
      <rPr>
        <b/>
        <sz val="10"/>
        <rFont val="宋体"/>
        <charset val="134"/>
      </rPr>
      <t>港澳台事务</t>
    </r>
  </si>
  <si>
    <t>2012501</t>
  </si>
  <si>
    <t>2012502</t>
  </si>
  <si>
    <t>2012503</t>
  </si>
  <si>
    <t>2012504</t>
  </si>
  <si>
    <r>
      <t xml:space="preserve">      </t>
    </r>
    <r>
      <rPr>
        <sz val="10"/>
        <rFont val="宋体"/>
        <charset val="134"/>
      </rPr>
      <t>港澳事务</t>
    </r>
  </si>
  <si>
    <t>2012505</t>
  </si>
  <si>
    <r>
      <t xml:space="preserve">      </t>
    </r>
    <r>
      <rPr>
        <sz val="10"/>
        <rFont val="宋体"/>
        <charset val="134"/>
      </rPr>
      <t>台湾事务</t>
    </r>
  </si>
  <si>
    <t>2012550</t>
  </si>
  <si>
    <t>2012599</t>
  </si>
  <si>
    <r>
      <t xml:space="preserve">      </t>
    </r>
    <r>
      <rPr>
        <sz val="10"/>
        <rFont val="宋体"/>
        <charset val="134"/>
      </rPr>
      <t>其他港澳台事务支出</t>
    </r>
  </si>
  <si>
    <r>
      <t xml:space="preserve">    </t>
    </r>
    <r>
      <rPr>
        <b/>
        <sz val="10"/>
        <rFont val="宋体"/>
        <charset val="134"/>
      </rPr>
      <t>档案事务</t>
    </r>
  </si>
  <si>
    <t>2012601</t>
  </si>
  <si>
    <t>2012602</t>
  </si>
  <si>
    <t>2012603</t>
  </si>
  <si>
    <t>2012604</t>
  </si>
  <si>
    <r>
      <t xml:space="preserve">      </t>
    </r>
    <r>
      <rPr>
        <sz val="10"/>
        <rFont val="宋体"/>
        <charset val="134"/>
      </rPr>
      <t>档案馆</t>
    </r>
  </si>
  <si>
    <t>2012699</t>
  </si>
  <si>
    <r>
      <t xml:space="preserve">      </t>
    </r>
    <r>
      <rPr>
        <sz val="10"/>
        <rFont val="宋体"/>
        <charset val="134"/>
      </rPr>
      <t>其他档案事务支出</t>
    </r>
  </si>
  <si>
    <r>
      <t xml:space="preserve">    </t>
    </r>
    <r>
      <rPr>
        <b/>
        <sz val="10"/>
        <rFont val="宋体"/>
        <charset val="134"/>
      </rPr>
      <t>民主党派及工商联事务</t>
    </r>
  </si>
  <si>
    <t>2012801</t>
  </si>
  <si>
    <t>2012802</t>
  </si>
  <si>
    <t>2012803</t>
  </si>
  <si>
    <t>2012804</t>
  </si>
  <si>
    <t>2012850</t>
  </si>
  <si>
    <t>2012899</t>
  </si>
  <si>
    <r>
      <t xml:space="preserve">      </t>
    </r>
    <r>
      <rPr>
        <sz val="10"/>
        <rFont val="宋体"/>
        <charset val="134"/>
      </rPr>
      <t>其他民主党派及工商联事务支出</t>
    </r>
  </si>
  <si>
    <r>
      <t xml:space="preserve">    </t>
    </r>
    <r>
      <rPr>
        <b/>
        <sz val="10"/>
        <rFont val="宋体"/>
        <charset val="134"/>
      </rPr>
      <t>群众团体事务</t>
    </r>
  </si>
  <si>
    <t>2012901</t>
  </si>
  <si>
    <t>2012902</t>
  </si>
  <si>
    <t>2012903</t>
  </si>
  <si>
    <t>2012906</t>
  </si>
  <si>
    <r>
      <t xml:space="preserve">      </t>
    </r>
    <r>
      <rPr>
        <sz val="10"/>
        <rFont val="宋体"/>
        <charset val="134"/>
      </rPr>
      <t>工会事务</t>
    </r>
  </si>
  <si>
    <t>2012950</t>
  </si>
  <si>
    <t>2012999</t>
  </si>
  <si>
    <r>
      <t xml:space="preserve">      </t>
    </r>
    <r>
      <rPr>
        <sz val="10"/>
        <rFont val="宋体"/>
        <charset val="134"/>
      </rPr>
      <t>其他群众团体事务支出</t>
    </r>
  </si>
  <si>
    <r>
      <t xml:space="preserve">    </t>
    </r>
    <r>
      <rPr>
        <b/>
        <sz val="10"/>
        <rFont val="宋体"/>
        <charset val="134"/>
      </rPr>
      <t>党委办公厅（室）及相关机构事务</t>
    </r>
  </si>
  <si>
    <t>2013101</t>
  </si>
  <si>
    <t>2013102</t>
  </si>
  <si>
    <t>2013103</t>
  </si>
  <si>
    <t>2013105</t>
  </si>
  <si>
    <r>
      <t xml:space="preserve">      </t>
    </r>
    <r>
      <rPr>
        <sz val="10"/>
        <rFont val="宋体"/>
        <charset val="134"/>
      </rPr>
      <t>专项业务</t>
    </r>
  </si>
  <si>
    <t>2013150</t>
  </si>
  <si>
    <t>2013199</t>
  </si>
  <si>
    <r>
      <t xml:space="preserve">      </t>
    </r>
    <r>
      <rPr>
        <sz val="10"/>
        <rFont val="宋体"/>
        <charset val="134"/>
      </rPr>
      <t>其他党委办公厅（室）及相关机构事务支出</t>
    </r>
  </si>
  <si>
    <r>
      <t xml:space="preserve">    </t>
    </r>
    <r>
      <rPr>
        <b/>
        <sz val="10"/>
        <rFont val="宋体"/>
        <charset val="134"/>
      </rPr>
      <t>组织事务</t>
    </r>
  </si>
  <si>
    <t>2013201</t>
  </si>
  <si>
    <t>2013202</t>
  </si>
  <si>
    <t>2013203</t>
  </si>
  <si>
    <t>2013204</t>
  </si>
  <si>
    <r>
      <t xml:space="preserve">      </t>
    </r>
    <r>
      <rPr>
        <sz val="10"/>
        <rFont val="宋体"/>
        <charset val="134"/>
      </rPr>
      <t>公务员事务</t>
    </r>
  </si>
  <si>
    <t>2013250</t>
  </si>
  <si>
    <t>2013299</t>
  </si>
  <si>
    <r>
      <t xml:space="preserve">      </t>
    </r>
    <r>
      <rPr>
        <sz val="10"/>
        <rFont val="宋体"/>
        <charset val="134"/>
      </rPr>
      <t>其他组织事务支出</t>
    </r>
  </si>
  <si>
    <r>
      <t xml:space="preserve">    </t>
    </r>
    <r>
      <rPr>
        <b/>
        <sz val="10"/>
        <rFont val="宋体"/>
        <charset val="134"/>
      </rPr>
      <t>宣传事务</t>
    </r>
  </si>
  <si>
    <t>2013301</t>
  </si>
  <si>
    <t>2013302</t>
  </si>
  <si>
    <t>2013303</t>
  </si>
  <si>
    <t>2013304</t>
  </si>
  <si>
    <r>
      <t xml:space="preserve">      </t>
    </r>
    <r>
      <rPr>
        <sz val="10"/>
        <rFont val="宋体"/>
        <charset val="134"/>
      </rPr>
      <t>宣传管理</t>
    </r>
  </si>
  <si>
    <t>2013350</t>
  </si>
  <si>
    <t>2013399</t>
  </si>
  <si>
    <r>
      <t xml:space="preserve">      </t>
    </r>
    <r>
      <rPr>
        <sz val="10"/>
        <rFont val="宋体"/>
        <charset val="134"/>
      </rPr>
      <t>其他宣传事务支出</t>
    </r>
  </si>
  <si>
    <r>
      <t xml:space="preserve">    </t>
    </r>
    <r>
      <rPr>
        <b/>
        <sz val="10"/>
        <rFont val="宋体"/>
        <charset val="134"/>
      </rPr>
      <t>统战事务</t>
    </r>
  </si>
  <si>
    <t>2013401</t>
  </si>
  <si>
    <t>2013402</t>
  </si>
  <si>
    <t>2013403</t>
  </si>
  <si>
    <t>2013404</t>
  </si>
  <si>
    <r>
      <t xml:space="preserve">      </t>
    </r>
    <r>
      <rPr>
        <sz val="10"/>
        <rFont val="宋体"/>
        <charset val="134"/>
      </rPr>
      <t>宗教事务</t>
    </r>
  </si>
  <si>
    <t>2013405</t>
  </si>
  <si>
    <r>
      <t xml:space="preserve">      </t>
    </r>
    <r>
      <rPr>
        <sz val="10"/>
        <rFont val="宋体"/>
        <charset val="134"/>
      </rPr>
      <t>华侨事务</t>
    </r>
  </si>
  <si>
    <t>2013450</t>
  </si>
  <si>
    <t>2013499</t>
  </si>
  <si>
    <r>
      <t xml:space="preserve">      </t>
    </r>
    <r>
      <rPr>
        <sz val="10"/>
        <rFont val="宋体"/>
        <charset val="134"/>
      </rPr>
      <t>其他统战事务支出</t>
    </r>
  </si>
  <si>
    <r>
      <t xml:space="preserve">    </t>
    </r>
    <r>
      <rPr>
        <b/>
        <sz val="10"/>
        <rFont val="宋体"/>
        <charset val="134"/>
      </rPr>
      <t>对外联络事务</t>
    </r>
  </si>
  <si>
    <t>2013501</t>
  </si>
  <si>
    <t>2013502</t>
  </si>
  <si>
    <t>2013503</t>
  </si>
  <si>
    <t>2013550</t>
  </si>
  <si>
    <t>2013599</t>
  </si>
  <si>
    <r>
      <t xml:space="preserve">      </t>
    </r>
    <r>
      <rPr>
        <sz val="10"/>
        <rFont val="宋体"/>
        <charset val="134"/>
      </rPr>
      <t>其他对外联络事务支出</t>
    </r>
  </si>
  <si>
    <r>
      <t xml:space="preserve">    </t>
    </r>
    <r>
      <rPr>
        <b/>
        <sz val="10"/>
        <rFont val="宋体"/>
        <charset val="134"/>
      </rPr>
      <t>其他共产党事务支出</t>
    </r>
  </si>
  <si>
    <t>2013601</t>
  </si>
  <si>
    <t>2013602</t>
  </si>
  <si>
    <t>2013603</t>
  </si>
  <si>
    <t>2013650</t>
  </si>
  <si>
    <t>2013699</t>
  </si>
  <si>
    <r>
      <t xml:space="preserve">      </t>
    </r>
    <r>
      <rPr>
        <sz val="10"/>
        <rFont val="宋体"/>
        <charset val="134"/>
      </rPr>
      <t>其他共产党事务支出</t>
    </r>
  </si>
  <si>
    <r>
      <t xml:space="preserve">    </t>
    </r>
    <r>
      <rPr>
        <b/>
        <sz val="10"/>
        <rFont val="宋体"/>
        <charset val="134"/>
      </rPr>
      <t>网信事务</t>
    </r>
  </si>
  <si>
    <t>2013701</t>
  </si>
  <si>
    <t>2013702</t>
  </si>
  <si>
    <t>2013703</t>
  </si>
  <si>
    <t>2133704</t>
  </si>
  <si>
    <r>
      <t xml:space="preserve">      </t>
    </r>
    <r>
      <rPr>
        <sz val="10"/>
        <rFont val="宋体"/>
        <charset val="134"/>
      </rPr>
      <t>信息安全事务</t>
    </r>
  </si>
  <si>
    <t>2013750</t>
  </si>
  <si>
    <t>2013799</t>
  </si>
  <si>
    <r>
      <t xml:space="preserve">      </t>
    </r>
    <r>
      <rPr>
        <sz val="10"/>
        <rFont val="宋体"/>
        <charset val="134"/>
      </rPr>
      <t>其他网信事务支出</t>
    </r>
  </si>
  <si>
    <r>
      <t xml:space="preserve">    </t>
    </r>
    <r>
      <rPr>
        <b/>
        <sz val="10"/>
        <rFont val="宋体"/>
        <charset val="134"/>
      </rPr>
      <t>市场监督管理事务</t>
    </r>
  </si>
  <si>
    <t>2013801</t>
  </si>
  <si>
    <t>2013802</t>
  </si>
  <si>
    <t>2013803</t>
  </si>
  <si>
    <t>2013804</t>
  </si>
  <si>
    <r>
      <t xml:space="preserve">      </t>
    </r>
    <r>
      <rPr>
        <sz val="10"/>
        <rFont val="宋体"/>
        <charset val="134"/>
      </rPr>
      <t>经营主体管理</t>
    </r>
  </si>
  <si>
    <t>2013805</t>
  </si>
  <si>
    <r>
      <t xml:space="preserve">      </t>
    </r>
    <r>
      <rPr>
        <sz val="10"/>
        <rFont val="宋体"/>
        <charset val="134"/>
      </rPr>
      <t>市场秩序执法</t>
    </r>
  </si>
  <si>
    <t>2013808</t>
  </si>
  <si>
    <t>2013810</t>
  </si>
  <si>
    <r>
      <t xml:space="preserve">      </t>
    </r>
    <r>
      <rPr>
        <sz val="10"/>
        <rFont val="宋体"/>
        <charset val="134"/>
      </rPr>
      <t>质量基础</t>
    </r>
  </si>
  <si>
    <t>2013812</t>
  </si>
  <si>
    <r>
      <t xml:space="preserve">      </t>
    </r>
    <r>
      <rPr>
        <sz val="10"/>
        <rFont val="宋体"/>
        <charset val="134"/>
      </rPr>
      <t>药品事务</t>
    </r>
  </si>
  <si>
    <t>2013813</t>
  </si>
  <si>
    <r>
      <t xml:space="preserve">      </t>
    </r>
    <r>
      <rPr>
        <sz val="10"/>
        <rFont val="宋体"/>
        <charset val="134"/>
      </rPr>
      <t>医疗器械事务</t>
    </r>
  </si>
  <si>
    <t>2013814</t>
  </si>
  <si>
    <r>
      <t xml:space="preserve">      </t>
    </r>
    <r>
      <rPr>
        <sz val="10"/>
        <rFont val="宋体"/>
        <charset val="134"/>
      </rPr>
      <t>化妆品事务</t>
    </r>
  </si>
  <si>
    <t>2013815</t>
  </si>
  <si>
    <r>
      <t xml:space="preserve">      </t>
    </r>
    <r>
      <rPr>
        <sz val="10"/>
        <rFont val="宋体"/>
        <charset val="134"/>
      </rPr>
      <t>质量安全监管</t>
    </r>
  </si>
  <si>
    <t>2013816</t>
  </si>
  <si>
    <r>
      <t xml:space="preserve">      </t>
    </r>
    <r>
      <rPr>
        <sz val="10"/>
        <rFont val="宋体"/>
        <charset val="134"/>
      </rPr>
      <t>食品安全监管</t>
    </r>
  </si>
  <si>
    <t>2013850</t>
  </si>
  <si>
    <t>2013899</t>
  </si>
  <si>
    <r>
      <t xml:space="preserve">      </t>
    </r>
    <r>
      <rPr>
        <sz val="10"/>
        <rFont val="宋体"/>
        <charset val="134"/>
      </rPr>
      <t>其他市场监督管理事务</t>
    </r>
  </si>
  <si>
    <r>
      <t xml:space="preserve">   </t>
    </r>
    <r>
      <rPr>
        <b/>
        <sz val="10"/>
        <rFont val="宋体"/>
        <charset val="134"/>
      </rPr>
      <t>社会工作事务</t>
    </r>
  </si>
  <si>
    <t>2013901</t>
  </si>
  <si>
    <t>2013902</t>
  </si>
  <si>
    <t>2013903</t>
  </si>
  <si>
    <t>2013904</t>
  </si>
  <si>
    <t>删除2080208基层政权建设和社区治理科目，相关支出转列社会工作事务下2013904专项业务科目</t>
  </si>
  <si>
    <t>2013950</t>
  </si>
  <si>
    <t>2013999</t>
  </si>
  <si>
    <r>
      <t xml:space="preserve">      </t>
    </r>
    <r>
      <rPr>
        <sz val="10"/>
        <rFont val="宋体"/>
        <charset val="134"/>
      </rPr>
      <t>其他社会工作事务支出</t>
    </r>
  </si>
  <si>
    <r>
      <t xml:space="preserve">   </t>
    </r>
    <r>
      <rPr>
        <b/>
        <sz val="10"/>
        <rFont val="宋体"/>
        <charset val="134"/>
      </rPr>
      <t>信访事务</t>
    </r>
  </si>
  <si>
    <t>2014001</t>
  </si>
  <si>
    <t>2014002</t>
  </si>
  <si>
    <t>2014003</t>
  </si>
  <si>
    <t>2014004</t>
  </si>
  <si>
    <r>
      <t xml:space="preserve">      </t>
    </r>
    <r>
      <rPr>
        <sz val="10"/>
        <rFont val="宋体"/>
        <charset val="134"/>
      </rPr>
      <t>信访业务</t>
    </r>
  </si>
  <si>
    <t>2014050</t>
  </si>
  <si>
    <t>2014099</t>
  </si>
  <si>
    <r>
      <t xml:space="preserve">      </t>
    </r>
    <r>
      <rPr>
        <sz val="10"/>
        <rFont val="宋体"/>
        <charset val="134"/>
      </rPr>
      <t>其他信访事务支出</t>
    </r>
  </si>
  <si>
    <r>
      <t xml:space="preserve">   </t>
    </r>
    <r>
      <rPr>
        <b/>
        <sz val="10"/>
        <rFont val="宋体"/>
        <charset val="134"/>
      </rPr>
      <t>数据事务</t>
    </r>
  </si>
  <si>
    <t>2014101</t>
  </si>
  <si>
    <t>2014102</t>
  </si>
  <si>
    <t>2014103</t>
  </si>
  <si>
    <t>2014150</t>
  </si>
  <si>
    <t>2014199</t>
  </si>
  <si>
    <r>
      <t xml:space="preserve">      </t>
    </r>
    <r>
      <rPr>
        <sz val="10"/>
        <rFont val="宋体"/>
        <charset val="134"/>
      </rPr>
      <t>其他数据事务支出</t>
    </r>
  </si>
  <si>
    <r>
      <t xml:space="preserve">    </t>
    </r>
    <r>
      <rPr>
        <b/>
        <sz val="10"/>
        <rFont val="宋体"/>
        <charset val="134"/>
      </rPr>
      <t>其他一般公共服务支出</t>
    </r>
  </si>
  <si>
    <t>2019901</t>
  </si>
  <si>
    <r>
      <t xml:space="preserve">      </t>
    </r>
    <r>
      <rPr>
        <sz val="10"/>
        <rFont val="宋体"/>
        <charset val="134"/>
      </rPr>
      <t>国家赔偿费用支出</t>
    </r>
  </si>
  <si>
    <t>2019999</t>
  </si>
  <si>
    <r>
      <t xml:space="preserve">      </t>
    </r>
    <r>
      <rPr>
        <sz val="10"/>
        <rFont val="宋体"/>
        <charset val="134"/>
      </rPr>
      <t>其他一般公共服务支出</t>
    </r>
  </si>
  <si>
    <r>
      <t xml:space="preserve">   </t>
    </r>
    <r>
      <rPr>
        <b/>
        <sz val="10"/>
        <rFont val="宋体"/>
        <charset val="134"/>
      </rPr>
      <t>外交管理事务</t>
    </r>
  </si>
  <si>
    <t>2020101</t>
  </si>
  <si>
    <t>2020102</t>
  </si>
  <si>
    <t>2020103</t>
  </si>
  <si>
    <t>2020104</t>
  </si>
  <si>
    <t>2020150</t>
  </si>
  <si>
    <t>2020199</t>
  </si>
  <si>
    <r>
      <t xml:space="preserve">      </t>
    </r>
    <r>
      <rPr>
        <sz val="10"/>
        <rFont val="宋体"/>
        <charset val="134"/>
      </rPr>
      <t>其他外交管理事务支出</t>
    </r>
  </si>
  <si>
    <r>
      <t xml:space="preserve">   </t>
    </r>
    <r>
      <rPr>
        <b/>
        <sz val="10"/>
        <rFont val="宋体"/>
        <charset val="134"/>
      </rPr>
      <t>驻外机构</t>
    </r>
  </si>
  <si>
    <t>2020201</t>
  </si>
  <si>
    <r>
      <t xml:space="preserve">      </t>
    </r>
    <r>
      <rPr>
        <sz val="10"/>
        <rFont val="宋体"/>
        <charset val="134"/>
      </rPr>
      <t>驻外使领馆（团、处）</t>
    </r>
  </si>
  <si>
    <t>2020202</t>
  </si>
  <si>
    <r>
      <t xml:space="preserve">      </t>
    </r>
    <r>
      <rPr>
        <sz val="10"/>
        <rFont val="宋体"/>
        <charset val="134"/>
      </rPr>
      <t>其他驻外机构支出</t>
    </r>
  </si>
  <si>
    <r>
      <t xml:space="preserve">   </t>
    </r>
    <r>
      <rPr>
        <b/>
        <sz val="10"/>
        <rFont val="宋体"/>
        <charset val="134"/>
      </rPr>
      <t>对外援助</t>
    </r>
  </si>
  <si>
    <t>2020304</t>
  </si>
  <si>
    <r>
      <t xml:space="preserve">      </t>
    </r>
    <r>
      <rPr>
        <sz val="10"/>
        <rFont val="宋体"/>
        <charset val="134"/>
      </rPr>
      <t>援外优惠贷款贴息</t>
    </r>
  </si>
  <si>
    <t>2020306</t>
  </si>
  <si>
    <r>
      <t xml:space="preserve">      </t>
    </r>
    <r>
      <rPr>
        <sz val="10"/>
        <rFont val="宋体"/>
        <charset val="134"/>
      </rPr>
      <t>对外援助</t>
    </r>
  </si>
  <si>
    <r>
      <t xml:space="preserve">   </t>
    </r>
    <r>
      <rPr>
        <b/>
        <sz val="10"/>
        <rFont val="宋体"/>
        <charset val="134"/>
      </rPr>
      <t>国际组织</t>
    </r>
  </si>
  <si>
    <t>2020401</t>
  </si>
  <si>
    <r>
      <t xml:space="preserve">      </t>
    </r>
    <r>
      <rPr>
        <sz val="10"/>
        <rFont val="宋体"/>
        <charset val="134"/>
      </rPr>
      <t>国际组织会务</t>
    </r>
  </si>
  <si>
    <t>2020402</t>
  </si>
  <si>
    <r>
      <t xml:space="preserve">      </t>
    </r>
    <r>
      <rPr>
        <sz val="10"/>
        <rFont val="宋体"/>
        <charset val="134"/>
      </rPr>
      <t>国际组织捐赠</t>
    </r>
  </si>
  <si>
    <t>2020403</t>
  </si>
  <si>
    <r>
      <t xml:space="preserve">      </t>
    </r>
    <r>
      <rPr>
        <sz val="10"/>
        <rFont val="宋体"/>
        <charset val="134"/>
      </rPr>
      <t>维和摊款</t>
    </r>
  </si>
  <si>
    <t>2020404</t>
  </si>
  <si>
    <r>
      <t xml:space="preserve">      </t>
    </r>
    <r>
      <rPr>
        <sz val="10"/>
        <rFont val="宋体"/>
        <charset val="134"/>
      </rPr>
      <t>国际组织股金及基金</t>
    </r>
  </si>
  <si>
    <t>2020499</t>
  </si>
  <si>
    <r>
      <t xml:space="preserve">      </t>
    </r>
    <r>
      <rPr>
        <sz val="10"/>
        <rFont val="宋体"/>
        <charset val="134"/>
      </rPr>
      <t>其他国际组织支出</t>
    </r>
  </si>
  <si>
    <r>
      <t xml:space="preserve">   </t>
    </r>
    <r>
      <rPr>
        <b/>
        <sz val="10"/>
        <rFont val="宋体"/>
        <charset val="134"/>
      </rPr>
      <t>对外合作与交流</t>
    </r>
  </si>
  <si>
    <t>2020503</t>
  </si>
  <si>
    <r>
      <t xml:space="preserve">      </t>
    </r>
    <r>
      <rPr>
        <sz val="10"/>
        <rFont val="宋体"/>
        <charset val="134"/>
      </rPr>
      <t>在华国际会议</t>
    </r>
  </si>
  <si>
    <t>2020504</t>
  </si>
  <si>
    <r>
      <t xml:space="preserve">      </t>
    </r>
    <r>
      <rPr>
        <sz val="10"/>
        <rFont val="宋体"/>
        <charset val="134"/>
      </rPr>
      <t>国际交流活动</t>
    </r>
  </si>
  <si>
    <t>2020505</t>
  </si>
  <si>
    <r>
      <t xml:space="preserve">      </t>
    </r>
    <r>
      <rPr>
        <sz val="10"/>
        <rFont val="宋体"/>
        <charset val="134"/>
      </rPr>
      <t>对外合作活动</t>
    </r>
  </si>
  <si>
    <t>2020599</t>
  </si>
  <si>
    <r>
      <t xml:space="preserve">      </t>
    </r>
    <r>
      <rPr>
        <sz val="10"/>
        <rFont val="宋体"/>
        <charset val="134"/>
      </rPr>
      <t>其他对外合作与交流支出</t>
    </r>
  </si>
  <si>
    <r>
      <t xml:space="preserve">   </t>
    </r>
    <r>
      <rPr>
        <b/>
        <sz val="10"/>
        <rFont val="宋体"/>
        <charset val="134"/>
      </rPr>
      <t>对外宣传</t>
    </r>
  </si>
  <si>
    <t>2020601</t>
  </si>
  <si>
    <r>
      <t xml:space="preserve">      </t>
    </r>
    <r>
      <rPr>
        <sz val="10"/>
        <rFont val="宋体"/>
        <charset val="134"/>
      </rPr>
      <t>对外宣传</t>
    </r>
  </si>
  <si>
    <r>
      <t xml:space="preserve">   </t>
    </r>
    <r>
      <rPr>
        <b/>
        <sz val="10"/>
        <rFont val="宋体"/>
        <charset val="134"/>
      </rPr>
      <t>边界勘界联检</t>
    </r>
  </si>
  <si>
    <t>2020701</t>
  </si>
  <si>
    <r>
      <t xml:space="preserve">      </t>
    </r>
    <r>
      <rPr>
        <sz val="10"/>
        <rFont val="宋体"/>
        <charset val="134"/>
      </rPr>
      <t>边界勘界</t>
    </r>
  </si>
  <si>
    <t>2020702</t>
  </si>
  <si>
    <r>
      <t xml:space="preserve">      </t>
    </r>
    <r>
      <rPr>
        <sz val="10"/>
        <rFont val="宋体"/>
        <charset val="134"/>
      </rPr>
      <t>边界联检</t>
    </r>
  </si>
  <si>
    <t>2020703</t>
  </si>
  <si>
    <r>
      <t xml:space="preserve">      </t>
    </r>
    <r>
      <rPr>
        <sz val="10"/>
        <rFont val="宋体"/>
        <charset val="134"/>
      </rPr>
      <t>边界界桩维护</t>
    </r>
  </si>
  <si>
    <t>2020799</t>
  </si>
  <si>
    <r>
      <t xml:space="preserve">   </t>
    </r>
    <r>
      <rPr>
        <b/>
        <sz val="10"/>
        <rFont val="宋体"/>
        <charset val="134"/>
      </rPr>
      <t>国际发展合作</t>
    </r>
  </si>
  <si>
    <t>2020801</t>
  </si>
  <si>
    <t>2020802</t>
  </si>
  <si>
    <t>2020803</t>
  </si>
  <si>
    <t>2020850</t>
  </si>
  <si>
    <t>2020899</t>
  </si>
  <si>
    <r>
      <t xml:space="preserve">      </t>
    </r>
    <r>
      <rPr>
        <sz val="10"/>
        <rFont val="宋体"/>
        <charset val="134"/>
      </rPr>
      <t>其他国际发展合作支出</t>
    </r>
  </si>
  <si>
    <r>
      <t xml:space="preserve">   </t>
    </r>
    <r>
      <rPr>
        <b/>
        <sz val="10"/>
        <rFont val="宋体"/>
        <charset val="134"/>
      </rPr>
      <t>其他外交支出</t>
    </r>
  </si>
  <si>
    <t>2029999</t>
  </si>
  <si>
    <r>
      <t xml:space="preserve">     </t>
    </r>
    <r>
      <rPr>
        <sz val="10"/>
        <rFont val="宋体"/>
        <charset val="134"/>
      </rPr>
      <t>其他外交支出</t>
    </r>
  </si>
  <si>
    <r>
      <t xml:space="preserve">    </t>
    </r>
    <r>
      <rPr>
        <b/>
        <sz val="10"/>
        <rFont val="宋体"/>
        <charset val="134"/>
      </rPr>
      <t>军费</t>
    </r>
  </si>
  <si>
    <t>2030101</t>
  </si>
  <si>
    <r>
      <t xml:space="preserve">      </t>
    </r>
    <r>
      <rPr>
        <sz val="10"/>
        <rFont val="宋体"/>
        <charset val="134"/>
      </rPr>
      <t>现役部队</t>
    </r>
  </si>
  <si>
    <t>2030102</t>
  </si>
  <si>
    <r>
      <t xml:space="preserve">      </t>
    </r>
    <r>
      <rPr>
        <sz val="10"/>
        <rFont val="宋体"/>
        <charset val="134"/>
      </rPr>
      <t>预备役部队</t>
    </r>
  </si>
  <si>
    <t>2030199</t>
  </si>
  <si>
    <r>
      <t xml:space="preserve">      </t>
    </r>
    <r>
      <rPr>
        <sz val="10"/>
        <rFont val="宋体"/>
        <charset val="134"/>
      </rPr>
      <t>其他军费支出</t>
    </r>
  </si>
  <si>
    <t>2030401</t>
  </si>
  <si>
    <r>
      <t xml:space="preserve">   </t>
    </r>
    <r>
      <rPr>
        <b/>
        <sz val="10"/>
        <rFont val="宋体"/>
        <charset val="134"/>
      </rPr>
      <t>国防科研事业</t>
    </r>
  </si>
  <si>
    <r>
      <t xml:space="preserve">     </t>
    </r>
    <r>
      <rPr>
        <sz val="10"/>
        <rFont val="宋体"/>
        <charset val="134"/>
      </rPr>
      <t>国防科研事业</t>
    </r>
  </si>
  <si>
    <r>
      <t xml:space="preserve">   </t>
    </r>
    <r>
      <rPr>
        <b/>
        <sz val="10"/>
        <rFont val="宋体"/>
        <charset val="134"/>
      </rPr>
      <t>专项工程</t>
    </r>
  </si>
  <si>
    <t>2030501</t>
  </si>
  <si>
    <r>
      <t xml:space="preserve">     </t>
    </r>
    <r>
      <rPr>
        <sz val="10"/>
        <rFont val="宋体"/>
        <charset val="134"/>
      </rPr>
      <t>专项工程</t>
    </r>
  </si>
  <si>
    <r>
      <t xml:space="preserve">    </t>
    </r>
    <r>
      <rPr>
        <b/>
        <sz val="10"/>
        <rFont val="宋体"/>
        <charset val="134"/>
      </rPr>
      <t>国防动员</t>
    </r>
  </si>
  <si>
    <t>2030601</t>
  </si>
  <si>
    <r>
      <t xml:space="preserve">      </t>
    </r>
    <r>
      <rPr>
        <sz val="10"/>
        <rFont val="宋体"/>
        <charset val="134"/>
      </rPr>
      <t>兵役征集</t>
    </r>
  </si>
  <si>
    <t>2030602</t>
  </si>
  <si>
    <r>
      <t xml:space="preserve">      </t>
    </r>
    <r>
      <rPr>
        <sz val="10"/>
        <rFont val="宋体"/>
        <charset val="134"/>
      </rPr>
      <t>经济动员</t>
    </r>
  </si>
  <si>
    <t>2030603</t>
  </si>
  <si>
    <r>
      <t xml:space="preserve">      </t>
    </r>
    <r>
      <rPr>
        <sz val="10"/>
        <rFont val="宋体"/>
        <charset val="134"/>
      </rPr>
      <t>人民防空</t>
    </r>
  </si>
  <si>
    <t>2030604</t>
  </si>
  <si>
    <r>
      <t xml:space="preserve">      </t>
    </r>
    <r>
      <rPr>
        <sz val="10"/>
        <rFont val="宋体"/>
        <charset val="134"/>
      </rPr>
      <t>交通战备</t>
    </r>
  </si>
  <si>
    <t>2030607</t>
  </si>
  <si>
    <r>
      <t xml:space="preserve">      </t>
    </r>
    <r>
      <rPr>
        <sz val="10"/>
        <rFont val="宋体"/>
        <charset val="134"/>
      </rPr>
      <t>民兵</t>
    </r>
  </si>
  <si>
    <t>2030608</t>
  </si>
  <si>
    <r>
      <t xml:space="preserve">      </t>
    </r>
    <r>
      <rPr>
        <sz val="10"/>
        <rFont val="宋体"/>
        <charset val="134"/>
      </rPr>
      <t>边海防</t>
    </r>
  </si>
  <si>
    <t>2030699</t>
  </si>
  <si>
    <r>
      <t xml:space="preserve">      </t>
    </r>
    <r>
      <rPr>
        <sz val="10"/>
        <rFont val="宋体"/>
        <charset val="134"/>
      </rPr>
      <t>其他国防动员支出</t>
    </r>
  </si>
  <si>
    <r>
      <t xml:space="preserve">    </t>
    </r>
    <r>
      <rPr>
        <b/>
        <sz val="10"/>
        <rFont val="宋体"/>
        <charset val="134"/>
      </rPr>
      <t>其他国防支出</t>
    </r>
  </si>
  <si>
    <t>2039999</t>
  </si>
  <si>
    <r>
      <t xml:space="preserve">      </t>
    </r>
    <r>
      <rPr>
        <sz val="10"/>
        <rFont val="宋体"/>
        <charset val="134"/>
      </rPr>
      <t>其他国防支出</t>
    </r>
  </si>
  <si>
    <r>
      <t xml:space="preserve">    </t>
    </r>
    <r>
      <rPr>
        <b/>
        <sz val="10"/>
        <rFont val="宋体"/>
        <charset val="134"/>
      </rPr>
      <t>武装警察部队</t>
    </r>
  </si>
  <si>
    <t>2040101</t>
  </si>
  <si>
    <r>
      <t xml:space="preserve">      </t>
    </r>
    <r>
      <rPr>
        <sz val="10"/>
        <rFont val="宋体"/>
        <charset val="134"/>
      </rPr>
      <t>武装警察部队</t>
    </r>
  </si>
  <si>
    <t>2040199</t>
  </si>
  <si>
    <r>
      <t xml:space="preserve">      </t>
    </r>
    <r>
      <rPr>
        <sz val="10"/>
        <rFont val="宋体"/>
        <charset val="134"/>
      </rPr>
      <t>其他武装警察部队支出</t>
    </r>
  </si>
  <si>
    <r>
      <t xml:space="preserve">    </t>
    </r>
    <r>
      <rPr>
        <b/>
        <sz val="10"/>
        <rFont val="宋体"/>
        <charset val="134"/>
      </rPr>
      <t>公安</t>
    </r>
  </si>
  <si>
    <t>2040201</t>
  </si>
  <si>
    <t>2040202</t>
  </si>
  <si>
    <t>2040203</t>
  </si>
  <si>
    <t>2040219</t>
  </si>
  <si>
    <t>2040220</t>
  </si>
  <si>
    <r>
      <t xml:space="preserve">      </t>
    </r>
    <r>
      <rPr>
        <sz val="10"/>
        <rFont val="宋体"/>
        <charset val="134"/>
      </rPr>
      <t>执法办案</t>
    </r>
  </si>
  <si>
    <t>2040221</t>
  </si>
  <si>
    <r>
      <t xml:space="preserve">      </t>
    </r>
    <r>
      <rPr>
        <sz val="10"/>
        <rFont val="宋体"/>
        <charset val="134"/>
      </rPr>
      <t>特别业务</t>
    </r>
  </si>
  <si>
    <t>2040222</t>
  </si>
  <si>
    <r>
      <t xml:space="preserve">      </t>
    </r>
    <r>
      <rPr>
        <sz val="10"/>
        <rFont val="宋体"/>
        <charset val="134"/>
      </rPr>
      <t>特勤业务</t>
    </r>
  </si>
  <si>
    <t>2040223</t>
  </si>
  <si>
    <r>
      <t xml:space="preserve">      </t>
    </r>
    <r>
      <rPr>
        <sz val="10"/>
        <rFont val="宋体"/>
        <charset val="134"/>
      </rPr>
      <t>移民事务</t>
    </r>
  </si>
  <si>
    <t>2040250</t>
  </si>
  <si>
    <t>2040299</t>
  </si>
  <si>
    <r>
      <t xml:space="preserve">      </t>
    </r>
    <r>
      <rPr>
        <sz val="10"/>
        <rFont val="宋体"/>
        <charset val="134"/>
      </rPr>
      <t>其他公安支出</t>
    </r>
  </si>
  <si>
    <r>
      <t xml:space="preserve">    </t>
    </r>
    <r>
      <rPr>
        <b/>
        <sz val="10"/>
        <rFont val="宋体"/>
        <charset val="134"/>
      </rPr>
      <t>国家安全</t>
    </r>
  </si>
  <si>
    <t>2040301</t>
  </si>
  <si>
    <t>2040302</t>
  </si>
  <si>
    <t>2040303</t>
  </si>
  <si>
    <t>2040304</t>
  </si>
  <si>
    <r>
      <t xml:space="preserve">      </t>
    </r>
    <r>
      <rPr>
        <sz val="10"/>
        <rFont val="宋体"/>
        <charset val="134"/>
      </rPr>
      <t>安全业务</t>
    </r>
  </si>
  <si>
    <t>2040350</t>
  </si>
  <si>
    <t>2040399</t>
  </si>
  <si>
    <r>
      <t xml:space="preserve">      </t>
    </r>
    <r>
      <rPr>
        <sz val="10"/>
        <rFont val="宋体"/>
        <charset val="134"/>
      </rPr>
      <t>其他国家安全支出</t>
    </r>
  </si>
  <si>
    <r>
      <t xml:space="preserve">    </t>
    </r>
    <r>
      <rPr>
        <b/>
        <sz val="10"/>
        <rFont val="宋体"/>
        <charset val="134"/>
      </rPr>
      <t>检察</t>
    </r>
  </si>
  <si>
    <t>2040401</t>
  </si>
  <si>
    <t>2040402</t>
  </si>
  <si>
    <t>2040403</t>
  </si>
  <si>
    <t>2040409</t>
  </si>
  <si>
    <r>
      <t xml:space="preserve">      “</t>
    </r>
    <r>
      <rPr>
        <sz val="10"/>
        <rFont val="宋体"/>
        <charset val="134"/>
      </rPr>
      <t>两房</t>
    </r>
    <r>
      <rPr>
        <sz val="10"/>
        <rFont val="Times New Roman"/>
        <family val="1"/>
        <charset val="0"/>
      </rPr>
      <t>”</t>
    </r>
    <r>
      <rPr>
        <sz val="10"/>
        <rFont val="宋体"/>
        <charset val="134"/>
      </rPr>
      <t>建设</t>
    </r>
  </si>
  <si>
    <t>2040410</t>
  </si>
  <si>
    <r>
      <t xml:space="preserve">      </t>
    </r>
    <r>
      <rPr>
        <sz val="10"/>
        <rFont val="宋体"/>
        <charset val="134"/>
      </rPr>
      <t>检察监督</t>
    </r>
  </si>
  <si>
    <t>2040450</t>
  </si>
  <si>
    <t>2040499</t>
  </si>
  <si>
    <r>
      <t xml:space="preserve">      </t>
    </r>
    <r>
      <rPr>
        <sz val="10"/>
        <rFont val="宋体"/>
        <charset val="134"/>
      </rPr>
      <t>其他检察支出</t>
    </r>
  </si>
  <si>
    <r>
      <t xml:space="preserve">    </t>
    </r>
    <r>
      <rPr>
        <b/>
        <sz val="10"/>
        <rFont val="宋体"/>
        <charset val="134"/>
      </rPr>
      <t>法院</t>
    </r>
  </si>
  <si>
    <t>2040501</t>
  </si>
  <si>
    <t>2040502</t>
  </si>
  <si>
    <t>2040503</t>
  </si>
  <si>
    <t>2040504</t>
  </si>
  <si>
    <r>
      <t xml:space="preserve">      </t>
    </r>
    <r>
      <rPr>
        <sz val="10"/>
        <rFont val="宋体"/>
        <charset val="134"/>
      </rPr>
      <t>案件审判</t>
    </r>
  </si>
  <si>
    <t>2040505</t>
  </si>
  <si>
    <r>
      <t xml:space="preserve">      </t>
    </r>
    <r>
      <rPr>
        <sz val="10"/>
        <rFont val="宋体"/>
        <charset val="134"/>
      </rPr>
      <t>案件执行</t>
    </r>
  </si>
  <si>
    <t>2040506</t>
  </si>
  <si>
    <r>
      <t xml:space="preserve">      “</t>
    </r>
    <r>
      <rPr>
        <sz val="10"/>
        <rFont val="宋体"/>
        <charset val="134"/>
      </rPr>
      <t>两庭</t>
    </r>
    <r>
      <rPr>
        <sz val="10"/>
        <rFont val="Times New Roman"/>
        <family val="1"/>
        <charset val="0"/>
      </rPr>
      <t>”</t>
    </r>
    <r>
      <rPr>
        <sz val="10"/>
        <rFont val="宋体"/>
        <charset val="134"/>
      </rPr>
      <t>建设</t>
    </r>
  </si>
  <si>
    <t>2040550</t>
  </si>
  <si>
    <t>2040599</t>
  </si>
  <si>
    <r>
      <t xml:space="preserve">      </t>
    </r>
    <r>
      <rPr>
        <sz val="10"/>
        <rFont val="宋体"/>
        <charset val="134"/>
      </rPr>
      <t>其他法院支出</t>
    </r>
  </si>
  <si>
    <r>
      <t xml:space="preserve">    </t>
    </r>
    <r>
      <rPr>
        <b/>
        <sz val="10"/>
        <rFont val="宋体"/>
        <charset val="134"/>
      </rPr>
      <t>司法</t>
    </r>
  </si>
  <si>
    <t>2040601</t>
  </si>
  <si>
    <t>2040602</t>
  </si>
  <si>
    <t>2040603</t>
  </si>
  <si>
    <t>2040604</t>
  </si>
  <si>
    <r>
      <t xml:space="preserve">      </t>
    </r>
    <r>
      <rPr>
        <sz val="10"/>
        <rFont val="宋体"/>
        <charset val="134"/>
      </rPr>
      <t>基层司法业务</t>
    </r>
  </si>
  <si>
    <t>2040605</t>
  </si>
  <si>
    <r>
      <t xml:space="preserve">      </t>
    </r>
    <r>
      <rPr>
        <sz val="10"/>
        <rFont val="宋体"/>
        <charset val="134"/>
      </rPr>
      <t>普法宣传</t>
    </r>
  </si>
  <si>
    <t>2040606</t>
  </si>
  <si>
    <r>
      <t xml:space="preserve">      </t>
    </r>
    <r>
      <rPr>
        <sz val="10"/>
        <rFont val="宋体"/>
        <charset val="134"/>
      </rPr>
      <t>律师管理</t>
    </r>
  </si>
  <si>
    <t>2040607</t>
  </si>
  <si>
    <r>
      <t xml:space="preserve">      </t>
    </r>
    <r>
      <rPr>
        <sz val="10"/>
        <rFont val="宋体"/>
        <charset val="134"/>
      </rPr>
      <t>公共法律服务</t>
    </r>
  </si>
  <si>
    <t>2040608</t>
  </si>
  <si>
    <r>
      <t xml:space="preserve">      </t>
    </r>
    <r>
      <rPr>
        <sz val="10"/>
        <rFont val="宋体"/>
        <charset val="134"/>
      </rPr>
      <t>国家统一法律职业资格考试</t>
    </r>
  </si>
  <si>
    <t>2040610</t>
  </si>
  <si>
    <r>
      <t xml:space="preserve">      </t>
    </r>
    <r>
      <rPr>
        <sz val="10"/>
        <rFont val="宋体"/>
        <charset val="134"/>
      </rPr>
      <t>社区矫正</t>
    </r>
  </si>
  <si>
    <t>2040612</t>
  </si>
  <si>
    <r>
      <t xml:space="preserve">      </t>
    </r>
    <r>
      <rPr>
        <sz val="10"/>
        <rFont val="宋体"/>
        <charset val="134"/>
      </rPr>
      <t>法制建设</t>
    </r>
  </si>
  <si>
    <t>2040613</t>
  </si>
  <si>
    <t>2040650</t>
  </si>
  <si>
    <t>2040699</t>
  </si>
  <si>
    <r>
      <t xml:space="preserve">      </t>
    </r>
    <r>
      <rPr>
        <sz val="10"/>
        <rFont val="宋体"/>
        <charset val="134"/>
      </rPr>
      <t>其他司法支出</t>
    </r>
  </si>
  <si>
    <r>
      <t xml:space="preserve">    </t>
    </r>
    <r>
      <rPr>
        <b/>
        <sz val="10"/>
        <rFont val="宋体"/>
        <charset val="134"/>
      </rPr>
      <t>监狱</t>
    </r>
  </si>
  <si>
    <t>2040701</t>
  </si>
  <si>
    <t>2040702</t>
  </si>
  <si>
    <t>2040703</t>
  </si>
  <si>
    <t>2040704</t>
  </si>
  <si>
    <r>
      <t xml:space="preserve">      </t>
    </r>
    <r>
      <rPr>
        <sz val="10"/>
        <rFont val="宋体"/>
        <charset val="134"/>
      </rPr>
      <t>罪犯生活及医疗卫生</t>
    </r>
  </si>
  <si>
    <t>2040705</t>
  </si>
  <si>
    <r>
      <t xml:space="preserve">      </t>
    </r>
    <r>
      <rPr>
        <sz val="10"/>
        <rFont val="宋体"/>
        <charset val="134"/>
      </rPr>
      <t>监狱业务及罪犯改造</t>
    </r>
  </si>
  <si>
    <t>2040706</t>
  </si>
  <si>
    <r>
      <t xml:space="preserve">      </t>
    </r>
    <r>
      <rPr>
        <sz val="10"/>
        <rFont val="宋体"/>
        <charset val="134"/>
      </rPr>
      <t>狱政设施建设</t>
    </r>
  </si>
  <si>
    <t>2040707</t>
  </si>
  <si>
    <t>2040750</t>
  </si>
  <si>
    <t>2040799</t>
  </si>
  <si>
    <r>
      <t xml:space="preserve">      </t>
    </r>
    <r>
      <rPr>
        <sz val="10"/>
        <rFont val="宋体"/>
        <charset val="134"/>
      </rPr>
      <t>其他监狱支出</t>
    </r>
  </si>
  <si>
    <r>
      <t xml:space="preserve">    </t>
    </r>
    <r>
      <rPr>
        <b/>
        <sz val="10"/>
        <rFont val="宋体"/>
        <charset val="134"/>
      </rPr>
      <t>强制隔离戒毒</t>
    </r>
  </si>
  <si>
    <t>2040801</t>
  </si>
  <si>
    <t>2040802</t>
  </si>
  <si>
    <t>2040803</t>
  </si>
  <si>
    <t>2040804</t>
  </si>
  <si>
    <r>
      <t xml:space="preserve">      </t>
    </r>
    <r>
      <rPr>
        <sz val="10"/>
        <rFont val="宋体"/>
        <charset val="134"/>
      </rPr>
      <t>强制隔离戒毒人员生活</t>
    </r>
  </si>
  <si>
    <t>2040805</t>
  </si>
  <si>
    <r>
      <t xml:space="preserve">      </t>
    </r>
    <r>
      <rPr>
        <sz val="10"/>
        <rFont val="宋体"/>
        <charset val="134"/>
      </rPr>
      <t>强制隔离戒毒人员教育</t>
    </r>
  </si>
  <si>
    <t>2040806</t>
  </si>
  <si>
    <r>
      <t xml:space="preserve">      </t>
    </r>
    <r>
      <rPr>
        <sz val="10"/>
        <rFont val="宋体"/>
        <charset val="134"/>
      </rPr>
      <t>所政设施建设</t>
    </r>
  </si>
  <si>
    <t>2040807</t>
  </si>
  <si>
    <t>2040850</t>
  </si>
  <si>
    <t>2040899</t>
  </si>
  <si>
    <r>
      <t xml:space="preserve">      </t>
    </r>
    <r>
      <rPr>
        <sz val="10"/>
        <rFont val="宋体"/>
        <charset val="134"/>
      </rPr>
      <t>其他强制隔离戒毒支出</t>
    </r>
  </si>
  <si>
    <r>
      <t xml:space="preserve">    </t>
    </r>
    <r>
      <rPr>
        <b/>
        <sz val="10"/>
        <rFont val="宋体"/>
        <charset val="134"/>
      </rPr>
      <t>国家保密</t>
    </r>
  </si>
  <si>
    <t>2040901</t>
  </si>
  <si>
    <t>2040902</t>
  </si>
  <si>
    <t>2040903</t>
  </si>
  <si>
    <t>2040904</t>
  </si>
  <si>
    <r>
      <t xml:space="preserve">      </t>
    </r>
    <r>
      <rPr>
        <sz val="10"/>
        <rFont val="宋体"/>
        <charset val="134"/>
      </rPr>
      <t>保密技术</t>
    </r>
  </si>
  <si>
    <t>2040905</t>
  </si>
  <si>
    <r>
      <t xml:space="preserve">      </t>
    </r>
    <r>
      <rPr>
        <sz val="10"/>
        <rFont val="宋体"/>
        <charset val="134"/>
      </rPr>
      <t>保密管理</t>
    </r>
  </si>
  <si>
    <t>2040950</t>
  </si>
  <si>
    <t>2040999</t>
  </si>
  <si>
    <r>
      <t xml:space="preserve">      </t>
    </r>
    <r>
      <rPr>
        <sz val="10"/>
        <rFont val="宋体"/>
        <charset val="134"/>
      </rPr>
      <t>其他国家保密支出</t>
    </r>
  </si>
  <si>
    <r>
      <t xml:space="preserve">    </t>
    </r>
    <r>
      <rPr>
        <b/>
        <sz val="10"/>
        <rFont val="宋体"/>
        <charset val="134"/>
      </rPr>
      <t>缉私警察</t>
    </r>
  </si>
  <si>
    <t>2041001</t>
  </si>
  <si>
    <t>2041002</t>
  </si>
  <si>
    <t>2041006</t>
  </si>
  <si>
    <t>2041007</t>
  </si>
  <si>
    <r>
      <t xml:space="preserve">      </t>
    </r>
    <r>
      <rPr>
        <sz val="10"/>
        <rFont val="宋体"/>
        <charset val="134"/>
      </rPr>
      <t>缉私业务</t>
    </r>
  </si>
  <si>
    <t>2041099</t>
  </si>
  <si>
    <r>
      <t xml:space="preserve">      </t>
    </r>
    <r>
      <rPr>
        <sz val="10"/>
        <rFont val="宋体"/>
        <charset val="134"/>
      </rPr>
      <t>其他缉私警察支出</t>
    </r>
  </si>
  <si>
    <r>
      <t xml:space="preserve">    </t>
    </r>
    <r>
      <rPr>
        <b/>
        <sz val="10"/>
        <rFont val="宋体"/>
        <charset val="134"/>
      </rPr>
      <t>其他公共安全支出</t>
    </r>
  </si>
  <si>
    <t>2049902</t>
  </si>
  <si>
    <r>
      <t xml:space="preserve">      </t>
    </r>
    <r>
      <rPr>
        <sz val="10"/>
        <rFont val="宋体"/>
        <charset val="134"/>
      </rPr>
      <t>国家司法救助支出</t>
    </r>
  </si>
  <si>
    <t>2049999</t>
  </si>
  <si>
    <r>
      <t xml:space="preserve">      </t>
    </r>
    <r>
      <rPr>
        <sz val="10"/>
        <rFont val="宋体"/>
        <charset val="134"/>
      </rPr>
      <t>其他公共安全支出</t>
    </r>
  </si>
  <si>
    <r>
      <t xml:space="preserve">    </t>
    </r>
    <r>
      <rPr>
        <b/>
        <sz val="10"/>
        <rFont val="宋体"/>
        <charset val="134"/>
      </rPr>
      <t>教育管理事务</t>
    </r>
  </si>
  <si>
    <t>2050101</t>
  </si>
  <si>
    <t>2050102</t>
  </si>
  <si>
    <t>2050103</t>
  </si>
  <si>
    <t>2050199</t>
  </si>
  <si>
    <r>
      <t xml:space="preserve">      </t>
    </r>
    <r>
      <rPr>
        <sz val="10"/>
        <rFont val="宋体"/>
        <charset val="134"/>
      </rPr>
      <t>其他教育管理事务支出</t>
    </r>
  </si>
  <si>
    <r>
      <t xml:space="preserve">    </t>
    </r>
    <r>
      <rPr>
        <b/>
        <sz val="10"/>
        <rFont val="宋体"/>
        <charset val="134"/>
      </rPr>
      <t>普通教育</t>
    </r>
  </si>
  <si>
    <t>2050201</t>
  </si>
  <si>
    <r>
      <t xml:space="preserve">      </t>
    </r>
    <r>
      <rPr>
        <sz val="10"/>
        <rFont val="宋体"/>
        <charset val="134"/>
      </rPr>
      <t>学前教育</t>
    </r>
  </si>
  <si>
    <t>2050202</t>
  </si>
  <si>
    <r>
      <t xml:space="preserve">      </t>
    </r>
    <r>
      <rPr>
        <sz val="10"/>
        <rFont val="宋体"/>
        <charset val="134"/>
      </rPr>
      <t>小学教育</t>
    </r>
  </si>
  <si>
    <t>2050203</t>
  </si>
  <si>
    <r>
      <t xml:space="preserve">      </t>
    </r>
    <r>
      <rPr>
        <sz val="10"/>
        <rFont val="宋体"/>
        <charset val="134"/>
      </rPr>
      <t>初中教育</t>
    </r>
  </si>
  <si>
    <t>2050204</t>
  </si>
  <si>
    <r>
      <t xml:space="preserve">      </t>
    </r>
    <r>
      <rPr>
        <sz val="10"/>
        <rFont val="宋体"/>
        <charset val="134"/>
      </rPr>
      <t>高中教育</t>
    </r>
  </si>
  <si>
    <t>2050205</t>
  </si>
  <si>
    <r>
      <t xml:space="preserve">      </t>
    </r>
    <r>
      <rPr>
        <sz val="10"/>
        <rFont val="宋体"/>
        <charset val="134"/>
      </rPr>
      <t>高等教育</t>
    </r>
  </si>
  <si>
    <t>2050299</t>
  </si>
  <si>
    <r>
      <t xml:space="preserve">      </t>
    </r>
    <r>
      <rPr>
        <sz val="10"/>
        <rFont val="宋体"/>
        <charset val="134"/>
      </rPr>
      <t>其他普通教育支出</t>
    </r>
  </si>
  <si>
    <r>
      <t xml:space="preserve">    </t>
    </r>
    <r>
      <rPr>
        <b/>
        <sz val="10"/>
        <rFont val="宋体"/>
        <charset val="134"/>
      </rPr>
      <t>职业教育</t>
    </r>
  </si>
  <si>
    <t>2050301</t>
  </si>
  <si>
    <r>
      <t xml:space="preserve">      </t>
    </r>
    <r>
      <rPr>
        <sz val="10"/>
        <rFont val="宋体"/>
        <charset val="134"/>
      </rPr>
      <t>初等职业教育</t>
    </r>
  </si>
  <si>
    <t>2050302</t>
  </si>
  <si>
    <r>
      <t xml:space="preserve">      </t>
    </r>
    <r>
      <rPr>
        <sz val="10"/>
        <rFont val="宋体"/>
        <charset val="134"/>
      </rPr>
      <t>中等职业教育</t>
    </r>
  </si>
  <si>
    <t>2050303</t>
  </si>
  <si>
    <r>
      <t xml:space="preserve">      </t>
    </r>
    <r>
      <rPr>
        <sz val="10"/>
        <rFont val="宋体"/>
        <charset val="134"/>
      </rPr>
      <t>技校教育</t>
    </r>
  </si>
  <si>
    <t>2050305</t>
  </si>
  <si>
    <r>
      <t xml:space="preserve">      </t>
    </r>
    <r>
      <rPr>
        <sz val="10"/>
        <rFont val="宋体"/>
        <charset val="134"/>
      </rPr>
      <t>高等职业教育</t>
    </r>
  </si>
  <si>
    <t>2050399</t>
  </si>
  <si>
    <r>
      <t xml:space="preserve">      </t>
    </r>
    <r>
      <rPr>
        <sz val="10"/>
        <rFont val="宋体"/>
        <charset val="134"/>
      </rPr>
      <t>其他职业教育支出</t>
    </r>
  </si>
  <si>
    <r>
      <t xml:space="preserve">    </t>
    </r>
    <r>
      <rPr>
        <b/>
        <sz val="10"/>
        <rFont val="宋体"/>
        <charset val="134"/>
      </rPr>
      <t>成人教育</t>
    </r>
  </si>
  <si>
    <t>2050401</t>
  </si>
  <si>
    <r>
      <t xml:space="preserve">      </t>
    </r>
    <r>
      <rPr>
        <sz val="10"/>
        <rFont val="宋体"/>
        <charset val="134"/>
      </rPr>
      <t>成人初等教育</t>
    </r>
  </si>
  <si>
    <t>2050402</t>
  </si>
  <si>
    <r>
      <t xml:space="preserve">      </t>
    </r>
    <r>
      <rPr>
        <sz val="10"/>
        <rFont val="宋体"/>
        <charset val="134"/>
      </rPr>
      <t>成人中等教育</t>
    </r>
  </si>
  <si>
    <t>2050403</t>
  </si>
  <si>
    <r>
      <t xml:space="preserve">      </t>
    </r>
    <r>
      <rPr>
        <sz val="10"/>
        <rFont val="宋体"/>
        <charset val="134"/>
      </rPr>
      <t>成人高等教育</t>
    </r>
  </si>
  <si>
    <t>2050404</t>
  </si>
  <si>
    <r>
      <t xml:space="preserve">      </t>
    </r>
    <r>
      <rPr>
        <sz val="10"/>
        <rFont val="宋体"/>
        <charset val="134"/>
      </rPr>
      <t>成人广播电视教育</t>
    </r>
  </si>
  <si>
    <t>2050499</t>
  </si>
  <si>
    <r>
      <t xml:space="preserve">      </t>
    </r>
    <r>
      <rPr>
        <sz val="10"/>
        <rFont val="宋体"/>
        <charset val="134"/>
      </rPr>
      <t>其他成人教育支出</t>
    </r>
  </si>
  <si>
    <r>
      <t xml:space="preserve">    </t>
    </r>
    <r>
      <rPr>
        <b/>
        <sz val="10"/>
        <rFont val="宋体"/>
        <charset val="134"/>
      </rPr>
      <t>广播电视教育</t>
    </r>
  </si>
  <si>
    <t>2050501</t>
  </si>
  <si>
    <r>
      <t xml:space="preserve">      </t>
    </r>
    <r>
      <rPr>
        <sz val="10"/>
        <rFont val="宋体"/>
        <charset val="134"/>
      </rPr>
      <t>广播电视学校</t>
    </r>
  </si>
  <si>
    <t>2050502</t>
  </si>
  <si>
    <r>
      <t xml:space="preserve">      </t>
    </r>
    <r>
      <rPr>
        <sz val="10"/>
        <rFont val="宋体"/>
        <charset val="134"/>
      </rPr>
      <t>教育电视台</t>
    </r>
  </si>
  <si>
    <t>2050599</t>
  </si>
  <si>
    <r>
      <t xml:space="preserve">      </t>
    </r>
    <r>
      <rPr>
        <sz val="10"/>
        <rFont val="宋体"/>
        <charset val="134"/>
      </rPr>
      <t>其他广播电视教育支出</t>
    </r>
  </si>
  <si>
    <r>
      <t xml:space="preserve">    </t>
    </r>
    <r>
      <rPr>
        <b/>
        <sz val="10"/>
        <rFont val="宋体"/>
        <charset val="134"/>
      </rPr>
      <t>留学教育</t>
    </r>
  </si>
  <si>
    <t>2050601</t>
  </si>
  <si>
    <r>
      <t xml:space="preserve">      </t>
    </r>
    <r>
      <rPr>
        <sz val="10"/>
        <rFont val="宋体"/>
        <charset val="134"/>
      </rPr>
      <t>出国留学教育</t>
    </r>
  </si>
  <si>
    <t>2050602</t>
  </si>
  <si>
    <r>
      <t xml:space="preserve">      </t>
    </r>
    <r>
      <rPr>
        <sz val="10"/>
        <rFont val="宋体"/>
        <charset val="134"/>
      </rPr>
      <t>来华留学教育</t>
    </r>
  </si>
  <si>
    <t>2050699</t>
  </si>
  <si>
    <r>
      <t xml:space="preserve">      </t>
    </r>
    <r>
      <rPr>
        <sz val="10"/>
        <rFont val="宋体"/>
        <charset val="134"/>
      </rPr>
      <t>其他留学教育支出</t>
    </r>
  </si>
  <si>
    <r>
      <t xml:space="preserve">    </t>
    </r>
    <r>
      <rPr>
        <b/>
        <sz val="10"/>
        <rFont val="宋体"/>
        <charset val="134"/>
      </rPr>
      <t>特殊教育</t>
    </r>
  </si>
  <si>
    <t>2050701</t>
  </si>
  <si>
    <r>
      <t xml:space="preserve">      </t>
    </r>
    <r>
      <rPr>
        <sz val="10"/>
        <rFont val="宋体"/>
        <charset val="134"/>
      </rPr>
      <t>特殊学校教育</t>
    </r>
  </si>
  <si>
    <t>2050702</t>
  </si>
  <si>
    <r>
      <t xml:space="preserve">      </t>
    </r>
    <r>
      <rPr>
        <sz val="10"/>
        <rFont val="宋体"/>
        <charset val="134"/>
      </rPr>
      <t>专门学校教育</t>
    </r>
  </si>
  <si>
    <t>2050799</t>
  </si>
  <si>
    <r>
      <t xml:space="preserve">      </t>
    </r>
    <r>
      <rPr>
        <sz val="10"/>
        <rFont val="宋体"/>
        <charset val="134"/>
      </rPr>
      <t>其他特殊教育支出</t>
    </r>
  </si>
  <si>
    <r>
      <t xml:space="preserve">    </t>
    </r>
    <r>
      <rPr>
        <b/>
        <sz val="10"/>
        <rFont val="宋体"/>
        <charset val="134"/>
      </rPr>
      <t>进修及培训</t>
    </r>
  </si>
  <si>
    <t>2050801</t>
  </si>
  <si>
    <r>
      <t xml:space="preserve">      </t>
    </r>
    <r>
      <rPr>
        <sz val="10"/>
        <rFont val="宋体"/>
        <charset val="134"/>
      </rPr>
      <t>教师进修</t>
    </r>
  </si>
  <si>
    <t>2050802</t>
  </si>
  <si>
    <r>
      <t xml:space="preserve">      </t>
    </r>
    <r>
      <rPr>
        <sz val="10"/>
        <rFont val="宋体"/>
        <charset val="134"/>
      </rPr>
      <t>干部教育</t>
    </r>
  </si>
  <si>
    <t>2050803</t>
  </si>
  <si>
    <r>
      <t xml:space="preserve">      </t>
    </r>
    <r>
      <rPr>
        <sz val="10"/>
        <rFont val="宋体"/>
        <charset val="134"/>
      </rPr>
      <t>培训支出</t>
    </r>
  </si>
  <si>
    <t>2050804</t>
  </si>
  <si>
    <r>
      <t xml:space="preserve">      </t>
    </r>
    <r>
      <rPr>
        <sz val="10"/>
        <rFont val="宋体"/>
        <charset val="134"/>
      </rPr>
      <t>退役士兵能力提升</t>
    </r>
  </si>
  <si>
    <t>2050899</t>
  </si>
  <si>
    <r>
      <t xml:space="preserve">      </t>
    </r>
    <r>
      <rPr>
        <sz val="10"/>
        <rFont val="宋体"/>
        <charset val="134"/>
      </rPr>
      <t>其他进修及培训</t>
    </r>
  </si>
  <si>
    <r>
      <t xml:space="preserve">    </t>
    </r>
    <r>
      <rPr>
        <b/>
        <sz val="10"/>
        <rFont val="宋体"/>
        <charset val="134"/>
      </rPr>
      <t>教育费附加安排的支出</t>
    </r>
  </si>
  <si>
    <t>2050901</t>
  </si>
  <si>
    <r>
      <t xml:space="preserve">      </t>
    </r>
    <r>
      <rPr>
        <sz val="10"/>
        <rFont val="宋体"/>
        <charset val="134"/>
      </rPr>
      <t>农村中小学校舍建设</t>
    </r>
  </si>
  <si>
    <t>2050902</t>
  </si>
  <si>
    <r>
      <t xml:space="preserve">      </t>
    </r>
    <r>
      <rPr>
        <sz val="10"/>
        <rFont val="宋体"/>
        <charset val="134"/>
      </rPr>
      <t>农村中小学教学设施</t>
    </r>
  </si>
  <si>
    <t>2050903</t>
  </si>
  <si>
    <r>
      <t xml:space="preserve">      </t>
    </r>
    <r>
      <rPr>
        <sz val="10"/>
        <rFont val="宋体"/>
        <charset val="134"/>
      </rPr>
      <t>城市中小学校舍建设</t>
    </r>
  </si>
  <si>
    <t>2050904</t>
  </si>
  <si>
    <r>
      <t xml:space="preserve">      </t>
    </r>
    <r>
      <rPr>
        <sz val="10"/>
        <rFont val="宋体"/>
        <charset val="134"/>
      </rPr>
      <t>城市中小学教学设施</t>
    </r>
  </si>
  <si>
    <t>2050905</t>
  </si>
  <si>
    <r>
      <t xml:space="preserve">      </t>
    </r>
    <r>
      <rPr>
        <sz val="10"/>
        <rFont val="宋体"/>
        <charset val="134"/>
      </rPr>
      <t>中等职业学校教学设施</t>
    </r>
  </si>
  <si>
    <t>2050999</t>
  </si>
  <si>
    <r>
      <t xml:space="preserve">      </t>
    </r>
    <r>
      <rPr>
        <sz val="10"/>
        <rFont val="宋体"/>
        <charset val="134"/>
      </rPr>
      <t>其他教育费附加安排的支出</t>
    </r>
  </si>
  <si>
    <r>
      <t xml:space="preserve">    </t>
    </r>
    <r>
      <rPr>
        <b/>
        <sz val="10"/>
        <rFont val="宋体"/>
        <charset val="134"/>
      </rPr>
      <t>其他教育支出</t>
    </r>
  </si>
  <si>
    <t>2059999</t>
  </si>
  <si>
    <r>
      <t xml:space="preserve">       </t>
    </r>
    <r>
      <rPr>
        <sz val="10"/>
        <rFont val="宋体"/>
        <charset val="134"/>
      </rPr>
      <t>其他教育支出</t>
    </r>
  </si>
  <si>
    <r>
      <t xml:space="preserve">    </t>
    </r>
    <r>
      <rPr>
        <b/>
        <sz val="10"/>
        <rFont val="宋体"/>
        <charset val="134"/>
      </rPr>
      <t>科学技术管理事务</t>
    </r>
  </si>
  <si>
    <t>2060101</t>
  </si>
  <si>
    <t>2060102</t>
  </si>
  <si>
    <t>2060103</t>
  </si>
  <si>
    <t>2060199</t>
  </si>
  <si>
    <r>
      <t xml:space="preserve">      </t>
    </r>
    <r>
      <rPr>
        <sz val="10"/>
        <rFont val="宋体"/>
        <charset val="134"/>
      </rPr>
      <t>其他科学技术管理事务支出</t>
    </r>
  </si>
  <si>
    <r>
      <t xml:space="preserve">    </t>
    </r>
    <r>
      <rPr>
        <b/>
        <sz val="10"/>
        <rFont val="宋体"/>
        <charset val="134"/>
      </rPr>
      <t>基础研究</t>
    </r>
  </si>
  <si>
    <t>2060201</t>
  </si>
  <si>
    <r>
      <t xml:space="preserve">      </t>
    </r>
    <r>
      <rPr>
        <sz val="10"/>
        <rFont val="宋体"/>
        <charset val="134"/>
      </rPr>
      <t>机构运行</t>
    </r>
  </si>
  <si>
    <t>2060203</t>
  </si>
  <si>
    <r>
      <t xml:space="preserve">      </t>
    </r>
    <r>
      <rPr>
        <sz val="10"/>
        <rFont val="宋体"/>
        <charset val="134"/>
      </rPr>
      <t>自然科学基金</t>
    </r>
  </si>
  <si>
    <t>2060204</t>
  </si>
  <si>
    <r>
      <t xml:space="preserve">      </t>
    </r>
    <r>
      <rPr>
        <sz val="10"/>
        <rFont val="宋体"/>
        <charset val="134"/>
      </rPr>
      <t>实验室及相关设施</t>
    </r>
  </si>
  <si>
    <t>2060205</t>
  </si>
  <si>
    <r>
      <t xml:space="preserve">      </t>
    </r>
    <r>
      <rPr>
        <sz val="10"/>
        <rFont val="宋体"/>
        <charset val="134"/>
      </rPr>
      <t>重大科学工程</t>
    </r>
  </si>
  <si>
    <t>2060206</t>
  </si>
  <si>
    <r>
      <t xml:space="preserve">      </t>
    </r>
    <r>
      <rPr>
        <sz val="10"/>
        <rFont val="宋体"/>
        <charset val="134"/>
      </rPr>
      <t>专项基础科研</t>
    </r>
  </si>
  <si>
    <t>2060207</t>
  </si>
  <si>
    <r>
      <t xml:space="preserve">      </t>
    </r>
    <r>
      <rPr>
        <sz val="10"/>
        <rFont val="宋体"/>
        <charset val="134"/>
      </rPr>
      <t>专项技术基础</t>
    </r>
  </si>
  <si>
    <t>2060208</t>
  </si>
  <si>
    <r>
      <t xml:space="preserve">      </t>
    </r>
    <r>
      <rPr>
        <sz val="10"/>
        <rFont val="宋体"/>
        <charset val="134"/>
      </rPr>
      <t>科技人才队伍建设</t>
    </r>
  </si>
  <si>
    <t>2060299</t>
  </si>
  <si>
    <r>
      <t xml:space="preserve">      </t>
    </r>
    <r>
      <rPr>
        <sz val="10"/>
        <rFont val="宋体"/>
        <charset val="134"/>
      </rPr>
      <t>其他基础研究支出</t>
    </r>
  </si>
  <si>
    <r>
      <t xml:space="preserve">    </t>
    </r>
    <r>
      <rPr>
        <b/>
        <sz val="10"/>
        <rFont val="宋体"/>
        <charset val="134"/>
      </rPr>
      <t>应用研究</t>
    </r>
  </si>
  <si>
    <t>2060301</t>
  </si>
  <si>
    <t>2060302</t>
  </si>
  <si>
    <r>
      <t xml:space="preserve">      </t>
    </r>
    <r>
      <rPr>
        <sz val="10"/>
        <rFont val="宋体"/>
        <charset val="134"/>
      </rPr>
      <t>社会公益研究</t>
    </r>
  </si>
  <si>
    <t>2060303</t>
  </si>
  <si>
    <r>
      <t xml:space="preserve">      </t>
    </r>
    <r>
      <rPr>
        <sz val="10"/>
        <rFont val="宋体"/>
        <charset val="134"/>
      </rPr>
      <t>高技术研究</t>
    </r>
  </si>
  <si>
    <t>2060304</t>
  </si>
  <si>
    <r>
      <t xml:space="preserve">      </t>
    </r>
    <r>
      <rPr>
        <sz val="10"/>
        <rFont val="宋体"/>
        <charset val="134"/>
      </rPr>
      <t>专项科研试制</t>
    </r>
  </si>
  <si>
    <t>2060399</t>
  </si>
  <si>
    <r>
      <t xml:space="preserve">      </t>
    </r>
    <r>
      <rPr>
        <sz val="10"/>
        <rFont val="宋体"/>
        <charset val="134"/>
      </rPr>
      <t>其他应用研究支出</t>
    </r>
  </si>
  <si>
    <r>
      <t xml:space="preserve">    </t>
    </r>
    <r>
      <rPr>
        <b/>
        <sz val="10"/>
        <rFont val="宋体"/>
        <charset val="134"/>
      </rPr>
      <t>技术研究与开发</t>
    </r>
  </si>
  <si>
    <t>2060401</t>
  </si>
  <si>
    <t>2060404</t>
  </si>
  <si>
    <r>
      <t xml:space="preserve">      </t>
    </r>
    <r>
      <rPr>
        <sz val="10"/>
        <rFont val="宋体"/>
        <charset val="134"/>
      </rPr>
      <t>科技成果转化与扩散</t>
    </r>
  </si>
  <si>
    <t>2060405</t>
  </si>
  <si>
    <r>
      <t xml:space="preserve">      </t>
    </r>
    <r>
      <rPr>
        <sz val="10"/>
        <rFont val="宋体"/>
        <charset val="134"/>
      </rPr>
      <t>共性技术研究与开发</t>
    </r>
  </si>
  <si>
    <t>2060499</t>
  </si>
  <si>
    <r>
      <t xml:space="preserve">      </t>
    </r>
    <r>
      <rPr>
        <sz val="10"/>
        <rFont val="宋体"/>
        <charset val="134"/>
      </rPr>
      <t>其他技术研究与开发支出</t>
    </r>
  </si>
  <si>
    <r>
      <t xml:space="preserve">    </t>
    </r>
    <r>
      <rPr>
        <b/>
        <sz val="10"/>
        <rFont val="宋体"/>
        <charset val="134"/>
      </rPr>
      <t>科技条件与服务</t>
    </r>
  </si>
  <si>
    <t>2060501</t>
  </si>
  <si>
    <t>2060502</t>
  </si>
  <si>
    <r>
      <t xml:space="preserve">      </t>
    </r>
    <r>
      <rPr>
        <sz val="10"/>
        <rFont val="宋体"/>
        <charset val="134"/>
      </rPr>
      <t>技术创新服务体系</t>
    </r>
  </si>
  <si>
    <t>2060503</t>
  </si>
  <si>
    <r>
      <t xml:space="preserve">      </t>
    </r>
    <r>
      <rPr>
        <sz val="10"/>
        <rFont val="宋体"/>
        <charset val="134"/>
      </rPr>
      <t>科技条件专项</t>
    </r>
  </si>
  <si>
    <t>2060599</t>
  </si>
  <si>
    <r>
      <t xml:space="preserve">      </t>
    </r>
    <r>
      <rPr>
        <sz val="10"/>
        <rFont val="宋体"/>
        <charset val="134"/>
      </rPr>
      <t>其他科技条件与服务支出</t>
    </r>
  </si>
  <si>
    <r>
      <t xml:space="preserve">    </t>
    </r>
    <r>
      <rPr>
        <b/>
        <sz val="10"/>
        <rFont val="宋体"/>
        <charset val="134"/>
      </rPr>
      <t>社会科学</t>
    </r>
  </si>
  <si>
    <t>2060601</t>
  </si>
  <si>
    <r>
      <t xml:space="preserve">      </t>
    </r>
    <r>
      <rPr>
        <sz val="10"/>
        <rFont val="宋体"/>
        <charset val="134"/>
      </rPr>
      <t>社会科学研究机构</t>
    </r>
  </si>
  <si>
    <t>2060602</t>
  </si>
  <si>
    <r>
      <t xml:space="preserve">      </t>
    </r>
    <r>
      <rPr>
        <sz val="10"/>
        <rFont val="宋体"/>
        <charset val="134"/>
      </rPr>
      <t>社会科学研究</t>
    </r>
  </si>
  <si>
    <t>2060603</t>
  </si>
  <si>
    <r>
      <t xml:space="preserve">      </t>
    </r>
    <r>
      <rPr>
        <sz val="10"/>
        <rFont val="宋体"/>
        <charset val="134"/>
      </rPr>
      <t>社科基金支出</t>
    </r>
  </si>
  <si>
    <t>2060699</t>
  </si>
  <si>
    <r>
      <t xml:space="preserve">      </t>
    </r>
    <r>
      <rPr>
        <sz val="10"/>
        <rFont val="宋体"/>
        <charset val="134"/>
      </rPr>
      <t>其他社会科学支出</t>
    </r>
  </si>
  <si>
    <r>
      <t xml:space="preserve">    </t>
    </r>
    <r>
      <rPr>
        <b/>
        <sz val="10"/>
        <rFont val="宋体"/>
        <charset val="134"/>
      </rPr>
      <t>科学技术普及</t>
    </r>
  </si>
  <si>
    <t>2060701</t>
  </si>
  <si>
    <t>2060702</t>
  </si>
  <si>
    <r>
      <t xml:space="preserve">      </t>
    </r>
    <r>
      <rPr>
        <sz val="10"/>
        <rFont val="宋体"/>
        <charset val="134"/>
      </rPr>
      <t>科普活动</t>
    </r>
  </si>
  <si>
    <t>2060703</t>
  </si>
  <si>
    <r>
      <t xml:space="preserve">      </t>
    </r>
    <r>
      <rPr>
        <sz val="10"/>
        <rFont val="宋体"/>
        <charset val="134"/>
      </rPr>
      <t>青少年科技活动</t>
    </r>
  </si>
  <si>
    <t>2060704</t>
  </si>
  <si>
    <r>
      <t xml:space="preserve">      </t>
    </r>
    <r>
      <rPr>
        <sz val="10"/>
        <rFont val="宋体"/>
        <charset val="134"/>
      </rPr>
      <t>学术交流活动</t>
    </r>
  </si>
  <si>
    <t>2060705</t>
  </si>
  <si>
    <r>
      <t xml:space="preserve">      </t>
    </r>
    <r>
      <rPr>
        <sz val="10"/>
        <rFont val="宋体"/>
        <charset val="134"/>
      </rPr>
      <t>科技馆站</t>
    </r>
  </si>
  <si>
    <t>2060799</t>
  </si>
  <si>
    <r>
      <t xml:space="preserve">      </t>
    </r>
    <r>
      <rPr>
        <sz val="10"/>
        <rFont val="宋体"/>
        <charset val="134"/>
      </rPr>
      <t>其他科学技术普及支出</t>
    </r>
  </si>
  <si>
    <r>
      <t xml:space="preserve">    </t>
    </r>
    <r>
      <rPr>
        <b/>
        <sz val="10"/>
        <rFont val="宋体"/>
        <charset val="134"/>
      </rPr>
      <t>科技交流与合作</t>
    </r>
  </si>
  <si>
    <t>2060801</t>
  </si>
  <si>
    <r>
      <t xml:space="preserve">      </t>
    </r>
    <r>
      <rPr>
        <sz val="10"/>
        <rFont val="宋体"/>
        <charset val="134"/>
      </rPr>
      <t>国际交流与合作</t>
    </r>
  </si>
  <si>
    <t>2060802</t>
  </si>
  <si>
    <r>
      <t xml:space="preserve">      </t>
    </r>
    <r>
      <rPr>
        <sz val="10"/>
        <rFont val="宋体"/>
        <charset val="134"/>
      </rPr>
      <t>重大科技合作项目</t>
    </r>
  </si>
  <si>
    <t>2060899</t>
  </si>
  <si>
    <r>
      <t xml:space="preserve">      </t>
    </r>
    <r>
      <rPr>
        <sz val="10"/>
        <rFont val="宋体"/>
        <charset val="134"/>
      </rPr>
      <t>其他科技交流与合作支出</t>
    </r>
  </si>
  <si>
    <r>
      <t xml:space="preserve">    </t>
    </r>
    <r>
      <rPr>
        <b/>
        <sz val="10"/>
        <rFont val="宋体"/>
        <charset val="134"/>
      </rPr>
      <t>科技重大项目</t>
    </r>
  </si>
  <si>
    <t>2060901</t>
  </si>
  <si>
    <r>
      <t xml:space="preserve">      </t>
    </r>
    <r>
      <rPr>
        <sz val="10"/>
        <rFont val="宋体"/>
        <charset val="134"/>
      </rPr>
      <t>科技重大专项</t>
    </r>
  </si>
  <si>
    <t>2060902</t>
  </si>
  <si>
    <r>
      <t xml:space="preserve">      </t>
    </r>
    <r>
      <rPr>
        <sz val="10"/>
        <rFont val="宋体"/>
        <charset val="134"/>
      </rPr>
      <t>重点研发计划</t>
    </r>
  </si>
  <si>
    <t>2060999</t>
  </si>
  <si>
    <r>
      <t xml:space="preserve">      </t>
    </r>
    <r>
      <rPr>
        <sz val="10"/>
        <rFont val="宋体"/>
        <charset val="134"/>
      </rPr>
      <t>其他科技重大项目</t>
    </r>
  </si>
  <si>
    <r>
      <t xml:space="preserve">    </t>
    </r>
    <r>
      <rPr>
        <b/>
        <sz val="10"/>
        <rFont val="宋体"/>
        <charset val="134"/>
      </rPr>
      <t>其他科学技术支出</t>
    </r>
  </si>
  <si>
    <t>2069901</t>
  </si>
  <si>
    <r>
      <t xml:space="preserve">      </t>
    </r>
    <r>
      <rPr>
        <sz val="10"/>
        <rFont val="宋体"/>
        <charset val="134"/>
      </rPr>
      <t>科技奖励</t>
    </r>
  </si>
  <si>
    <t>2069902</t>
  </si>
  <si>
    <r>
      <t xml:space="preserve">      </t>
    </r>
    <r>
      <rPr>
        <sz val="10"/>
        <rFont val="宋体"/>
        <charset val="134"/>
      </rPr>
      <t>核应急</t>
    </r>
  </si>
  <si>
    <t>2069903</t>
  </si>
  <si>
    <r>
      <t xml:space="preserve">      </t>
    </r>
    <r>
      <rPr>
        <sz val="10"/>
        <rFont val="宋体"/>
        <charset val="134"/>
      </rPr>
      <t>转制科研机构</t>
    </r>
  </si>
  <si>
    <t>2069999</t>
  </si>
  <si>
    <r>
      <t xml:space="preserve">      </t>
    </r>
    <r>
      <rPr>
        <sz val="10"/>
        <rFont val="宋体"/>
        <charset val="134"/>
      </rPr>
      <t>其他科学技术支出</t>
    </r>
  </si>
  <si>
    <r>
      <t xml:space="preserve">    </t>
    </r>
    <r>
      <rPr>
        <b/>
        <sz val="10"/>
        <rFont val="宋体"/>
        <charset val="134"/>
      </rPr>
      <t>文化和旅游</t>
    </r>
  </si>
  <si>
    <t>2070101</t>
  </si>
  <si>
    <t>2070102</t>
  </si>
  <si>
    <t>2070103</t>
  </si>
  <si>
    <t>2070104</t>
  </si>
  <si>
    <r>
      <t xml:space="preserve">      </t>
    </r>
    <r>
      <rPr>
        <sz val="10"/>
        <rFont val="宋体"/>
        <charset val="134"/>
      </rPr>
      <t>图书馆</t>
    </r>
  </si>
  <si>
    <t>2070105</t>
  </si>
  <si>
    <r>
      <t xml:space="preserve">      </t>
    </r>
    <r>
      <rPr>
        <sz val="10"/>
        <rFont val="宋体"/>
        <charset val="134"/>
      </rPr>
      <t>文化展示及纪念机构</t>
    </r>
  </si>
  <si>
    <t>2070106</t>
  </si>
  <si>
    <r>
      <t xml:space="preserve">      </t>
    </r>
    <r>
      <rPr>
        <sz val="10"/>
        <rFont val="宋体"/>
        <charset val="134"/>
      </rPr>
      <t>艺术表演场所</t>
    </r>
  </si>
  <si>
    <t>2070107</t>
  </si>
  <si>
    <r>
      <t xml:space="preserve">      </t>
    </r>
    <r>
      <rPr>
        <sz val="10"/>
        <rFont val="宋体"/>
        <charset val="134"/>
      </rPr>
      <t>艺术表演团体</t>
    </r>
  </si>
  <si>
    <t>2070108</t>
  </si>
  <si>
    <r>
      <t xml:space="preserve">      </t>
    </r>
    <r>
      <rPr>
        <sz val="10"/>
        <rFont val="宋体"/>
        <charset val="134"/>
      </rPr>
      <t>文化活动</t>
    </r>
  </si>
  <si>
    <t>2070109</t>
  </si>
  <si>
    <r>
      <t xml:space="preserve">      </t>
    </r>
    <r>
      <rPr>
        <sz val="10"/>
        <rFont val="宋体"/>
        <charset val="134"/>
      </rPr>
      <t>群众文化</t>
    </r>
  </si>
  <si>
    <t>2070110</t>
  </si>
  <si>
    <r>
      <t xml:space="preserve">      </t>
    </r>
    <r>
      <rPr>
        <sz val="10"/>
        <rFont val="宋体"/>
        <charset val="134"/>
      </rPr>
      <t>文化和旅游交流与合作</t>
    </r>
  </si>
  <si>
    <t>2070111</t>
  </si>
  <si>
    <r>
      <t xml:space="preserve">      </t>
    </r>
    <r>
      <rPr>
        <sz val="10"/>
        <rFont val="宋体"/>
        <charset val="134"/>
      </rPr>
      <t>文化创作与保护</t>
    </r>
  </si>
  <si>
    <t>2070112</t>
  </si>
  <si>
    <r>
      <t xml:space="preserve">      </t>
    </r>
    <r>
      <rPr>
        <sz val="10"/>
        <rFont val="宋体"/>
        <charset val="134"/>
      </rPr>
      <t>文化和旅游市场管理</t>
    </r>
  </si>
  <si>
    <t>2070113</t>
  </si>
  <si>
    <r>
      <t xml:space="preserve">      </t>
    </r>
    <r>
      <rPr>
        <sz val="10"/>
        <rFont val="宋体"/>
        <charset val="134"/>
      </rPr>
      <t>旅游宣传</t>
    </r>
  </si>
  <si>
    <t>2070114</t>
  </si>
  <si>
    <r>
      <t xml:space="preserve">      </t>
    </r>
    <r>
      <rPr>
        <sz val="10"/>
        <rFont val="宋体"/>
        <charset val="134"/>
      </rPr>
      <t>文化和旅游事务管理</t>
    </r>
  </si>
  <si>
    <t>2070199</t>
  </si>
  <si>
    <r>
      <t xml:space="preserve">      </t>
    </r>
    <r>
      <rPr>
        <sz val="10"/>
        <rFont val="宋体"/>
        <charset val="134"/>
      </rPr>
      <t>其他文化和旅游支出</t>
    </r>
  </si>
  <si>
    <r>
      <t xml:space="preserve">    </t>
    </r>
    <r>
      <rPr>
        <b/>
        <sz val="10"/>
        <rFont val="宋体"/>
        <charset val="134"/>
      </rPr>
      <t>文物</t>
    </r>
  </si>
  <si>
    <t>2070201</t>
  </si>
  <si>
    <t>2070202</t>
  </si>
  <si>
    <t>2070203</t>
  </si>
  <si>
    <t>2070204</t>
  </si>
  <si>
    <r>
      <t xml:space="preserve">      </t>
    </r>
    <r>
      <rPr>
        <sz val="10"/>
        <rFont val="宋体"/>
        <charset val="134"/>
      </rPr>
      <t>文物保护</t>
    </r>
  </si>
  <si>
    <t>2070205</t>
  </si>
  <si>
    <r>
      <t xml:space="preserve">      </t>
    </r>
    <r>
      <rPr>
        <sz val="10"/>
        <rFont val="宋体"/>
        <charset val="134"/>
      </rPr>
      <t>博物馆</t>
    </r>
  </si>
  <si>
    <t>2070206</t>
  </si>
  <si>
    <r>
      <t xml:space="preserve">      </t>
    </r>
    <r>
      <rPr>
        <sz val="10"/>
        <rFont val="宋体"/>
        <charset val="134"/>
      </rPr>
      <t>历史名城与古迹</t>
    </r>
  </si>
  <si>
    <t>2070299</t>
  </si>
  <si>
    <r>
      <t xml:space="preserve">      </t>
    </r>
    <r>
      <rPr>
        <sz val="10"/>
        <rFont val="宋体"/>
        <charset val="134"/>
      </rPr>
      <t>其他文物支出</t>
    </r>
  </si>
  <si>
    <r>
      <t xml:space="preserve">    </t>
    </r>
    <r>
      <rPr>
        <b/>
        <sz val="10"/>
        <rFont val="宋体"/>
        <charset val="134"/>
      </rPr>
      <t>体育</t>
    </r>
  </si>
  <si>
    <t>2070301</t>
  </si>
  <si>
    <t>2070302</t>
  </si>
  <si>
    <t>2070303</t>
  </si>
  <si>
    <t>2070304</t>
  </si>
  <si>
    <r>
      <t xml:space="preserve">      </t>
    </r>
    <r>
      <rPr>
        <sz val="10"/>
        <rFont val="宋体"/>
        <charset val="134"/>
      </rPr>
      <t>运动项目管理</t>
    </r>
  </si>
  <si>
    <t>2070305</t>
  </si>
  <si>
    <r>
      <t xml:space="preserve">      </t>
    </r>
    <r>
      <rPr>
        <sz val="10"/>
        <rFont val="宋体"/>
        <charset val="134"/>
      </rPr>
      <t>体育竞赛</t>
    </r>
  </si>
  <si>
    <t>2070306</t>
  </si>
  <si>
    <r>
      <t xml:space="preserve">      </t>
    </r>
    <r>
      <rPr>
        <sz val="10"/>
        <rFont val="宋体"/>
        <charset val="134"/>
      </rPr>
      <t>体育训练</t>
    </r>
  </si>
  <si>
    <t>2070307</t>
  </si>
  <si>
    <r>
      <t xml:space="preserve">      </t>
    </r>
    <r>
      <rPr>
        <sz val="10"/>
        <rFont val="宋体"/>
        <charset val="134"/>
      </rPr>
      <t>体育场馆</t>
    </r>
  </si>
  <si>
    <t>2070308</t>
  </si>
  <si>
    <r>
      <t xml:space="preserve">      </t>
    </r>
    <r>
      <rPr>
        <sz val="10"/>
        <rFont val="宋体"/>
        <charset val="134"/>
      </rPr>
      <t>群众体育</t>
    </r>
  </si>
  <si>
    <t>2070309</t>
  </si>
  <si>
    <r>
      <t xml:space="preserve">      </t>
    </r>
    <r>
      <rPr>
        <sz val="10"/>
        <rFont val="宋体"/>
        <charset val="134"/>
      </rPr>
      <t>体育交流与合作</t>
    </r>
  </si>
  <si>
    <t>2070399</t>
  </si>
  <si>
    <r>
      <t xml:space="preserve">      </t>
    </r>
    <r>
      <rPr>
        <sz val="10"/>
        <rFont val="宋体"/>
        <charset val="134"/>
      </rPr>
      <t>其他体育支出</t>
    </r>
  </si>
  <si>
    <r>
      <t xml:space="preserve">    </t>
    </r>
    <r>
      <rPr>
        <b/>
        <sz val="10"/>
        <rFont val="宋体"/>
        <charset val="134"/>
      </rPr>
      <t>新闻出版电影</t>
    </r>
  </si>
  <si>
    <t>2070601</t>
  </si>
  <si>
    <t>2070602</t>
  </si>
  <si>
    <t>2070603</t>
  </si>
  <si>
    <t>2070604</t>
  </si>
  <si>
    <r>
      <t xml:space="preserve">      </t>
    </r>
    <r>
      <rPr>
        <sz val="10"/>
        <rFont val="宋体"/>
        <charset val="134"/>
      </rPr>
      <t>新闻通讯</t>
    </r>
  </si>
  <si>
    <t>2070605</t>
  </si>
  <si>
    <r>
      <t xml:space="preserve">      </t>
    </r>
    <r>
      <rPr>
        <sz val="10"/>
        <rFont val="宋体"/>
        <charset val="134"/>
      </rPr>
      <t>出版发行</t>
    </r>
  </si>
  <si>
    <t>2070606</t>
  </si>
  <si>
    <r>
      <t xml:space="preserve">      </t>
    </r>
    <r>
      <rPr>
        <sz val="10"/>
        <rFont val="宋体"/>
        <charset val="134"/>
      </rPr>
      <t>版权管理</t>
    </r>
  </si>
  <si>
    <t>2070607</t>
  </si>
  <si>
    <r>
      <t xml:space="preserve">      </t>
    </r>
    <r>
      <rPr>
        <sz val="10"/>
        <rFont val="宋体"/>
        <charset val="134"/>
      </rPr>
      <t>电影</t>
    </r>
  </si>
  <si>
    <t>2070699</t>
  </si>
  <si>
    <r>
      <t xml:space="preserve">      </t>
    </r>
    <r>
      <rPr>
        <sz val="10"/>
        <rFont val="宋体"/>
        <charset val="134"/>
      </rPr>
      <t>其他新闻出版电影支出</t>
    </r>
  </si>
  <si>
    <r>
      <t xml:space="preserve">    </t>
    </r>
    <r>
      <rPr>
        <b/>
        <sz val="10"/>
        <rFont val="宋体"/>
        <charset val="134"/>
      </rPr>
      <t>广播电视</t>
    </r>
  </si>
  <si>
    <t>2070801</t>
  </si>
  <si>
    <t>2070802</t>
  </si>
  <si>
    <t>2070803</t>
  </si>
  <si>
    <t>2070806</t>
  </si>
  <si>
    <r>
      <t xml:space="preserve">      </t>
    </r>
    <r>
      <rPr>
        <sz val="10"/>
        <rFont val="宋体"/>
        <charset val="134"/>
      </rPr>
      <t>监测监管</t>
    </r>
  </si>
  <si>
    <t>2070807</t>
  </si>
  <si>
    <r>
      <t xml:space="preserve">      </t>
    </r>
    <r>
      <rPr>
        <sz val="10"/>
        <color indexed="8"/>
        <rFont val="宋体"/>
        <charset val="134"/>
      </rPr>
      <t>传输发射</t>
    </r>
  </si>
  <si>
    <t>2070808</t>
  </si>
  <si>
    <r>
      <t xml:space="preserve">      </t>
    </r>
    <r>
      <rPr>
        <sz val="10"/>
        <color indexed="8"/>
        <rFont val="宋体"/>
        <charset val="134"/>
      </rPr>
      <t>广播电视事务</t>
    </r>
  </si>
  <si>
    <t>2070899</t>
  </si>
  <si>
    <r>
      <t xml:space="preserve">      </t>
    </r>
    <r>
      <rPr>
        <sz val="10"/>
        <rFont val="宋体"/>
        <charset val="134"/>
      </rPr>
      <t>其他广播电视支出</t>
    </r>
  </si>
  <si>
    <r>
      <t xml:space="preserve">    </t>
    </r>
    <r>
      <rPr>
        <b/>
        <sz val="10"/>
        <rFont val="宋体"/>
        <charset val="134"/>
      </rPr>
      <t>其他文化体育与传媒支出</t>
    </r>
  </si>
  <si>
    <t>2079903</t>
  </si>
  <si>
    <r>
      <t xml:space="preserve">      </t>
    </r>
    <r>
      <rPr>
        <sz val="10"/>
        <rFont val="宋体"/>
        <charset val="134"/>
      </rPr>
      <t>文化产业发展专项支出</t>
    </r>
  </si>
  <si>
    <t>2079999</t>
  </si>
  <si>
    <r>
      <t xml:space="preserve">      </t>
    </r>
    <r>
      <rPr>
        <sz val="10"/>
        <rFont val="宋体"/>
        <charset val="134"/>
      </rPr>
      <t>其他文化体育与传媒支出</t>
    </r>
  </si>
  <si>
    <r>
      <t xml:space="preserve">    </t>
    </r>
    <r>
      <rPr>
        <b/>
        <sz val="10"/>
        <rFont val="宋体"/>
        <charset val="134"/>
      </rPr>
      <t>人力资源和社会保障管理事务</t>
    </r>
  </si>
  <si>
    <t>2080101</t>
  </si>
  <si>
    <t>2080102</t>
  </si>
  <si>
    <t>2080103</t>
  </si>
  <si>
    <t>2080104</t>
  </si>
  <si>
    <r>
      <t xml:space="preserve">      </t>
    </r>
    <r>
      <rPr>
        <sz val="10"/>
        <rFont val="宋体"/>
        <charset val="134"/>
      </rPr>
      <t>综合业务管理</t>
    </r>
  </si>
  <si>
    <t>2080105</t>
  </si>
  <si>
    <r>
      <t xml:space="preserve">      </t>
    </r>
    <r>
      <rPr>
        <sz val="10"/>
        <rFont val="宋体"/>
        <charset val="134"/>
      </rPr>
      <t>劳动保障监察</t>
    </r>
  </si>
  <si>
    <t>2080106</t>
  </si>
  <si>
    <r>
      <t xml:space="preserve">      </t>
    </r>
    <r>
      <rPr>
        <sz val="10"/>
        <rFont val="宋体"/>
        <charset val="134"/>
      </rPr>
      <t>就业管理事务</t>
    </r>
  </si>
  <si>
    <t>2080107</t>
  </si>
  <si>
    <r>
      <t xml:space="preserve">      </t>
    </r>
    <r>
      <rPr>
        <sz val="10"/>
        <rFont val="宋体"/>
        <charset val="134"/>
      </rPr>
      <t>社会保险业务管理事务</t>
    </r>
  </si>
  <si>
    <t>2080108</t>
  </si>
  <si>
    <t>2080109</t>
  </si>
  <si>
    <r>
      <t xml:space="preserve">      </t>
    </r>
    <r>
      <rPr>
        <sz val="10"/>
        <rFont val="宋体"/>
        <charset val="134"/>
      </rPr>
      <t>社会保险经办机构</t>
    </r>
  </si>
  <si>
    <t>2080110</t>
  </si>
  <si>
    <r>
      <t xml:space="preserve">      </t>
    </r>
    <r>
      <rPr>
        <sz val="10"/>
        <rFont val="宋体"/>
        <charset val="134"/>
      </rPr>
      <t>劳动关系和维权</t>
    </r>
  </si>
  <si>
    <t>2080111</t>
  </si>
  <si>
    <r>
      <t xml:space="preserve">      </t>
    </r>
    <r>
      <rPr>
        <sz val="10"/>
        <rFont val="宋体"/>
        <charset val="134"/>
      </rPr>
      <t>公共就业服务和职业技能鉴定机构</t>
    </r>
  </si>
  <si>
    <t>2080112</t>
  </si>
  <si>
    <r>
      <t xml:space="preserve">      </t>
    </r>
    <r>
      <rPr>
        <sz val="10"/>
        <rFont val="宋体"/>
        <charset val="134"/>
      </rPr>
      <t>劳动人事争议调解仲裁</t>
    </r>
  </si>
  <si>
    <t>2080113</t>
  </si>
  <si>
    <r>
      <t xml:space="preserve">      </t>
    </r>
    <r>
      <rPr>
        <sz val="10"/>
        <rFont val="宋体"/>
        <charset val="134"/>
      </rPr>
      <t>政府特殊津贴</t>
    </r>
  </si>
  <si>
    <t>2080114</t>
  </si>
  <si>
    <r>
      <t xml:space="preserve">      </t>
    </r>
    <r>
      <rPr>
        <sz val="10"/>
        <rFont val="宋体"/>
        <charset val="134"/>
      </rPr>
      <t>资助留学回国人员</t>
    </r>
  </si>
  <si>
    <t>2080115</t>
  </si>
  <si>
    <r>
      <t xml:space="preserve">      </t>
    </r>
    <r>
      <rPr>
        <sz val="10"/>
        <rFont val="宋体"/>
        <charset val="134"/>
      </rPr>
      <t>博士后日常经费</t>
    </r>
  </si>
  <si>
    <t>2080116</t>
  </si>
  <si>
    <r>
      <t xml:space="preserve">      </t>
    </r>
    <r>
      <rPr>
        <sz val="10"/>
        <rFont val="宋体"/>
        <charset val="134"/>
      </rPr>
      <t>引进人才费用</t>
    </r>
  </si>
  <si>
    <t>2080150</t>
  </si>
  <si>
    <t>2080199</t>
  </si>
  <si>
    <r>
      <t xml:space="preserve">      </t>
    </r>
    <r>
      <rPr>
        <sz val="10"/>
        <rFont val="宋体"/>
        <charset val="134"/>
      </rPr>
      <t>其他人力资源和社会保障管理事务支出</t>
    </r>
  </si>
  <si>
    <r>
      <t xml:space="preserve">    </t>
    </r>
    <r>
      <rPr>
        <b/>
        <sz val="10"/>
        <rFont val="宋体"/>
        <charset val="134"/>
      </rPr>
      <t>民政管理事务</t>
    </r>
  </si>
  <si>
    <t>2080201</t>
  </si>
  <si>
    <t>2080202</t>
  </si>
  <si>
    <t>2080203</t>
  </si>
  <si>
    <t>2080206</t>
  </si>
  <si>
    <r>
      <t xml:space="preserve">      </t>
    </r>
    <r>
      <rPr>
        <sz val="10"/>
        <rFont val="宋体"/>
        <charset val="134"/>
      </rPr>
      <t>民间组织管理</t>
    </r>
  </si>
  <si>
    <t>2080207</t>
  </si>
  <si>
    <r>
      <t xml:space="preserve">      </t>
    </r>
    <r>
      <rPr>
        <sz val="10"/>
        <rFont val="宋体"/>
        <charset val="134"/>
      </rPr>
      <t>行政区划和地名管理</t>
    </r>
  </si>
  <si>
    <t>2080209</t>
  </si>
  <si>
    <r>
      <t xml:space="preserve">      </t>
    </r>
    <r>
      <rPr>
        <sz val="10"/>
        <rFont val="宋体"/>
        <charset val="134"/>
      </rPr>
      <t>老龄事务</t>
    </r>
  </si>
  <si>
    <t>2080299</t>
  </si>
  <si>
    <r>
      <t xml:space="preserve">      </t>
    </r>
    <r>
      <rPr>
        <sz val="10"/>
        <rFont val="宋体"/>
        <charset val="134"/>
      </rPr>
      <t>其他民政管理事务支出</t>
    </r>
  </si>
  <si>
    <r>
      <t xml:space="preserve">    </t>
    </r>
    <r>
      <rPr>
        <b/>
        <sz val="10"/>
        <rFont val="宋体"/>
        <charset val="134"/>
      </rPr>
      <t>补充全国社会保障基金</t>
    </r>
  </si>
  <si>
    <t>2080402</t>
  </si>
  <si>
    <r>
      <t xml:space="preserve">      </t>
    </r>
    <r>
      <rPr>
        <sz val="10"/>
        <rFont val="宋体"/>
        <charset val="134"/>
      </rPr>
      <t>用一般公共预算补充基金</t>
    </r>
  </si>
  <si>
    <r>
      <t xml:space="preserve">    </t>
    </r>
    <r>
      <rPr>
        <b/>
        <sz val="10"/>
        <rFont val="宋体"/>
        <charset val="134"/>
      </rPr>
      <t>行政事业单位养老支出</t>
    </r>
  </si>
  <si>
    <t>2080501</t>
  </si>
  <si>
    <r>
      <t xml:space="preserve">      </t>
    </r>
    <r>
      <rPr>
        <sz val="10"/>
        <rFont val="宋体"/>
        <charset val="134"/>
      </rPr>
      <t>行政单位离退休</t>
    </r>
  </si>
  <si>
    <t>2080502</t>
  </si>
  <si>
    <r>
      <t xml:space="preserve">      </t>
    </r>
    <r>
      <rPr>
        <sz val="10"/>
        <rFont val="宋体"/>
        <charset val="134"/>
      </rPr>
      <t>事业单位离退休</t>
    </r>
  </si>
  <si>
    <t>2080503</t>
  </si>
  <si>
    <r>
      <t xml:space="preserve">      </t>
    </r>
    <r>
      <rPr>
        <sz val="10"/>
        <rFont val="宋体"/>
        <charset val="134"/>
      </rPr>
      <t>离退休人员管理机构</t>
    </r>
  </si>
  <si>
    <t>2080505</t>
  </si>
  <si>
    <r>
      <t xml:space="preserve">      </t>
    </r>
    <r>
      <rPr>
        <sz val="10"/>
        <rFont val="宋体"/>
        <charset val="134"/>
      </rPr>
      <t>机关事业单位基本养老保险缴费支出</t>
    </r>
  </si>
  <si>
    <t>2080506</t>
  </si>
  <si>
    <r>
      <t xml:space="preserve">      </t>
    </r>
    <r>
      <rPr>
        <sz val="10"/>
        <rFont val="宋体"/>
        <charset val="134"/>
      </rPr>
      <t>机关事业单位职业年金缴费支出</t>
    </r>
  </si>
  <si>
    <t>2080507</t>
  </si>
  <si>
    <r>
      <t xml:space="preserve">      </t>
    </r>
    <r>
      <rPr>
        <sz val="10"/>
        <rFont val="宋体"/>
        <charset val="134"/>
      </rPr>
      <t>对机关事业单位基本养老保险基金的补助</t>
    </r>
  </si>
  <si>
    <t>2080508</t>
  </si>
  <si>
    <r>
      <t xml:space="preserve">      </t>
    </r>
    <r>
      <rPr>
        <sz val="10"/>
        <rFont val="宋体"/>
        <charset val="134"/>
      </rPr>
      <t>对机关事业单位职业年金的补助</t>
    </r>
  </si>
  <si>
    <t>2080599</t>
  </si>
  <si>
    <r>
      <t xml:space="preserve">      </t>
    </r>
    <r>
      <rPr>
        <sz val="10"/>
        <rFont val="宋体"/>
        <charset val="134"/>
      </rPr>
      <t>其他行政事业单位养老支出</t>
    </r>
  </si>
  <si>
    <r>
      <t xml:space="preserve">    </t>
    </r>
    <r>
      <rPr>
        <b/>
        <sz val="10"/>
        <rFont val="宋体"/>
        <charset val="134"/>
      </rPr>
      <t>企业改革补助</t>
    </r>
  </si>
  <si>
    <t>2080601</t>
  </si>
  <si>
    <r>
      <t xml:space="preserve">      </t>
    </r>
    <r>
      <rPr>
        <sz val="10"/>
        <rFont val="宋体"/>
        <charset val="134"/>
      </rPr>
      <t>企业关闭破产补助</t>
    </r>
  </si>
  <si>
    <t>2080602</t>
  </si>
  <si>
    <r>
      <t xml:space="preserve">      </t>
    </r>
    <r>
      <rPr>
        <sz val="10"/>
        <rFont val="宋体"/>
        <charset val="134"/>
      </rPr>
      <t>厂办大集体改革补助</t>
    </r>
  </si>
  <si>
    <t>2080699</t>
  </si>
  <si>
    <r>
      <t xml:space="preserve">      </t>
    </r>
    <r>
      <rPr>
        <sz val="10"/>
        <rFont val="宋体"/>
        <charset val="134"/>
      </rPr>
      <t>其他企业改革发展补助</t>
    </r>
  </si>
  <si>
    <r>
      <t xml:space="preserve">    </t>
    </r>
    <r>
      <rPr>
        <b/>
        <sz val="10"/>
        <rFont val="宋体"/>
        <charset val="134"/>
      </rPr>
      <t>就业补助</t>
    </r>
  </si>
  <si>
    <t>2080701</t>
  </si>
  <si>
    <r>
      <t xml:space="preserve">      </t>
    </r>
    <r>
      <rPr>
        <sz val="10"/>
        <rFont val="宋体"/>
        <charset val="134"/>
      </rPr>
      <t>就业创业服务补贴</t>
    </r>
  </si>
  <si>
    <t>2080702</t>
  </si>
  <si>
    <r>
      <t xml:space="preserve">      </t>
    </r>
    <r>
      <rPr>
        <sz val="10"/>
        <rFont val="宋体"/>
        <charset val="134"/>
      </rPr>
      <t>职业培训补贴</t>
    </r>
  </si>
  <si>
    <t>2080704</t>
  </si>
  <si>
    <r>
      <t xml:space="preserve">      </t>
    </r>
    <r>
      <rPr>
        <sz val="10"/>
        <rFont val="宋体"/>
        <charset val="134"/>
      </rPr>
      <t>社会保险补贴</t>
    </r>
  </si>
  <si>
    <t>2080705</t>
  </si>
  <si>
    <r>
      <t xml:space="preserve">      </t>
    </r>
    <r>
      <rPr>
        <sz val="10"/>
        <rFont val="宋体"/>
        <charset val="134"/>
      </rPr>
      <t>公益性岗位补贴</t>
    </r>
  </si>
  <si>
    <t>2080709</t>
  </si>
  <si>
    <r>
      <t xml:space="preserve">      </t>
    </r>
    <r>
      <rPr>
        <sz val="10"/>
        <rFont val="宋体"/>
        <charset val="134"/>
      </rPr>
      <t>职业技能评价补贴</t>
    </r>
  </si>
  <si>
    <t>2080711</t>
  </si>
  <si>
    <r>
      <t xml:space="preserve">      </t>
    </r>
    <r>
      <rPr>
        <sz val="10"/>
        <rFont val="宋体"/>
        <charset val="134"/>
      </rPr>
      <t>就业见习补贴</t>
    </r>
  </si>
  <si>
    <t>2080712</t>
  </si>
  <si>
    <r>
      <t xml:space="preserve">      </t>
    </r>
    <r>
      <rPr>
        <sz val="10"/>
        <rFont val="宋体"/>
        <charset val="134"/>
      </rPr>
      <t>高技能人才培养补助</t>
    </r>
  </si>
  <si>
    <t>2080713</t>
  </si>
  <si>
    <r>
      <t xml:space="preserve">      </t>
    </r>
    <r>
      <rPr>
        <sz val="10"/>
        <rFont val="宋体"/>
        <charset val="134"/>
      </rPr>
      <t>求职和创业补贴</t>
    </r>
  </si>
  <si>
    <t>2080799</t>
  </si>
  <si>
    <r>
      <t xml:space="preserve">      </t>
    </r>
    <r>
      <rPr>
        <sz val="10"/>
        <rFont val="宋体"/>
        <charset val="134"/>
      </rPr>
      <t>其他就业补助支出</t>
    </r>
  </si>
  <si>
    <r>
      <t xml:space="preserve">    </t>
    </r>
    <r>
      <rPr>
        <b/>
        <sz val="10"/>
        <rFont val="宋体"/>
        <charset val="134"/>
      </rPr>
      <t>抚恤</t>
    </r>
  </si>
  <si>
    <t>2080801</t>
  </si>
  <si>
    <r>
      <t xml:space="preserve">      </t>
    </r>
    <r>
      <rPr>
        <sz val="10"/>
        <rFont val="宋体"/>
        <charset val="134"/>
      </rPr>
      <t>死亡抚恤</t>
    </r>
  </si>
  <si>
    <t>2080802</t>
  </si>
  <si>
    <r>
      <t xml:space="preserve">      </t>
    </r>
    <r>
      <rPr>
        <sz val="10"/>
        <rFont val="宋体"/>
        <charset val="134"/>
      </rPr>
      <t>伤残抚恤</t>
    </r>
  </si>
  <si>
    <t>2080803</t>
  </si>
  <si>
    <r>
      <t xml:space="preserve">      </t>
    </r>
    <r>
      <rPr>
        <sz val="10"/>
        <rFont val="宋体"/>
        <charset val="134"/>
      </rPr>
      <t>在乡复员、退伍军人生活补助</t>
    </r>
  </si>
  <si>
    <t>2080805</t>
  </si>
  <si>
    <r>
      <t xml:space="preserve">      </t>
    </r>
    <r>
      <rPr>
        <sz val="10"/>
        <rFont val="宋体"/>
        <charset val="134"/>
      </rPr>
      <t>义务兵优待</t>
    </r>
  </si>
  <si>
    <t>2080806</t>
  </si>
  <si>
    <r>
      <t xml:space="preserve">      </t>
    </r>
    <r>
      <rPr>
        <sz val="10"/>
        <rFont val="宋体"/>
        <charset val="134"/>
      </rPr>
      <t>农村籍退役士兵老年生活补助</t>
    </r>
  </si>
  <si>
    <t>2080807</t>
  </si>
  <si>
    <r>
      <t xml:space="preserve">      </t>
    </r>
    <r>
      <rPr>
        <sz val="10"/>
        <rFont val="宋体"/>
        <charset val="134"/>
      </rPr>
      <t>光荣院</t>
    </r>
  </si>
  <si>
    <t>2080808</t>
  </si>
  <si>
    <r>
      <t xml:space="preserve">      </t>
    </r>
    <r>
      <rPr>
        <sz val="10"/>
        <color indexed="8"/>
        <rFont val="宋体"/>
        <charset val="134"/>
      </rPr>
      <t>褒奖纪念</t>
    </r>
  </si>
  <si>
    <t>2080899</t>
  </si>
  <si>
    <r>
      <t xml:space="preserve">      </t>
    </r>
    <r>
      <rPr>
        <sz val="10"/>
        <rFont val="宋体"/>
        <charset val="134"/>
      </rPr>
      <t>其他优抚支出</t>
    </r>
  </si>
  <si>
    <r>
      <t xml:space="preserve">    </t>
    </r>
    <r>
      <rPr>
        <b/>
        <sz val="10"/>
        <rFont val="宋体"/>
        <charset val="134"/>
      </rPr>
      <t>退役安置</t>
    </r>
  </si>
  <si>
    <t>2080901</t>
  </si>
  <si>
    <r>
      <t xml:space="preserve">      </t>
    </r>
    <r>
      <rPr>
        <sz val="10"/>
        <rFont val="宋体"/>
        <charset val="134"/>
      </rPr>
      <t>退役士兵安置</t>
    </r>
  </si>
  <si>
    <t>2080902</t>
  </si>
  <si>
    <r>
      <t xml:space="preserve">      </t>
    </r>
    <r>
      <rPr>
        <sz val="10"/>
        <rFont val="宋体"/>
        <charset val="134"/>
      </rPr>
      <t>军队移交政府的离退休人员安置</t>
    </r>
  </si>
  <si>
    <t>2080903</t>
  </si>
  <si>
    <r>
      <t xml:space="preserve">      </t>
    </r>
    <r>
      <rPr>
        <sz val="10"/>
        <rFont val="宋体"/>
        <charset val="134"/>
      </rPr>
      <t>军队移交政府离退休干部管理机构</t>
    </r>
  </si>
  <si>
    <t>2080904</t>
  </si>
  <si>
    <r>
      <t xml:space="preserve">      </t>
    </r>
    <r>
      <rPr>
        <sz val="10"/>
        <rFont val="宋体"/>
        <charset val="134"/>
      </rPr>
      <t>退役士兵管理教育</t>
    </r>
  </si>
  <si>
    <t>2080905</t>
  </si>
  <si>
    <r>
      <t xml:space="preserve">      </t>
    </r>
    <r>
      <rPr>
        <sz val="10"/>
        <rFont val="宋体"/>
        <charset val="134"/>
      </rPr>
      <t>军队转业干部安置</t>
    </r>
  </si>
  <si>
    <t>2080999</t>
  </si>
  <si>
    <r>
      <t xml:space="preserve">      </t>
    </r>
    <r>
      <rPr>
        <sz val="10"/>
        <rFont val="宋体"/>
        <charset val="134"/>
      </rPr>
      <t>其他退役安置支出</t>
    </r>
  </si>
  <si>
    <r>
      <t xml:space="preserve">    </t>
    </r>
    <r>
      <rPr>
        <b/>
        <sz val="10"/>
        <rFont val="宋体"/>
        <charset val="134"/>
      </rPr>
      <t>社会福利</t>
    </r>
  </si>
  <si>
    <t>2081001</t>
  </si>
  <si>
    <r>
      <t xml:space="preserve">      </t>
    </r>
    <r>
      <rPr>
        <sz val="10"/>
        <rFont val="宋体"/>
        <charset val="134"/>
      </rPr>
      <t>儿童福利</t>
    </r>
  </si>
  <si>
    <t>2081002</t>
  </si>
  <si>
    <r>
      <t xml:space="preserve">      </t>
    </r>
    <r>
      <rPr>
        <sz val="10"/>
        <rFont val="宋体"/>
        <charset val="134"/>
      </rPr>
      <t>老年福利</t>
    </r>
  </si>
  <si>
    <t>2081003</t>
  </si>
  <si>
    <r>
      <t xml:space="preserve">      </t>
    </r>
    <r>
      <rPr>
        <sz val="10"/>
        <rFont val="宋体"/>
        <charset val="134"/>
      </rPr>
      <t>康复辅具</t>
    </r>
  </si>
  <si>
    <t>2081004</t>
  </si>
  <si>
    <r>
      <t xml:space="preserve">      </t>
    </r>
    <r>
      <rPr>
        <sz val="10"/>
        <rFont val="宋体"/>
        <charset val="134"/>
      </rPr>
      <t>殡葬</t>
    </r>
  </si>
  <si>
    <t>2081005</t>
  </si>
  <si>
    <r>
      <t xml:space="preserve">      </t>
    </r>
    <r>
      <rPr>
        <sz val="10"/>
        <rFont val="宋体"/>
        <charset val="134"/>
      </rPr>
      <t>社会福利事业单位</t>
    </r>
  </si>
  <si>
    <t>2081006</t>
  </si>
  <si>
    <r>
      <t xml:space="preserve">      </t>
    </r>
    <r>
      <rPr>
        <sz val="10"/>
        <rFont val="宋体"/>
        <charset val="134"/>
      </rPr>
      <t>养老服务</t>
    </r>
  </si>
  <si>
    <t>2081099</t>
  </si>
  <si>
    <r>
      <t xml:space="preserve">      </t>
    </r>
    <r>
      <rPr>
        <sz val="10"/>
        <rFont val="宋体"/>
        <charset val="134"/>
      </rPr>
      <t>其他社会福利支出</t>
    </r>
  </si>
  <si>
    <r>
      <t xml:space="preserve">    </t>
    </r>
    <r>
      <rPr>
        <b/>
        <sz val="10"/>
        <rFont val="宋体"/>
        <charset val="134"/>
      </rPr>
      <t>残疾人事业</t>
    </r>
  </si>
  <si>
    <t>2081101</t>
  </si>
  <si>
    <t>2081102</t>
  </si>
  <si>
    <t>2081103</t>
  </si>
  <si>
    <t>2081104</t>
  </si>
  <si>
    <r>
      <t xml:space="preserve">      </t>
    </r>
    <r>
      <rPr>
        <sz val="10"/>
        <rFont val="宋体"/>
        <charset val="134"/>
      </rPr>
      <t>残疾人康复</t>
    </r>
  </si>
  <si>
    <t>2081105</t>
  </si>
  <si>
    <r>
      <t xml:space="preserve">      </t>
    </r>
    <r>
      <rPr>
        <sz val="10"/>
        <rFont val="宋体"/>
        <charset val="134"/>
      </rPr>
      <t>残疾人就业</t>
    </r>
  </si>
  <si>
    <t>2081106</t>
  </si>
  <si>
    <r>
      <t xml:space="preserve">      </t>
    </r>
    <r>
      <rPr>
        <sz val="10"/>
        <rFont val="宋体"/>
        <charset val="134"/>
      </rPr>
      <t>残疾人体育</t>
    </r>
  </si>
  <si>
    <t>2081107</t>
  </si>
  <si>
    <r>
      <t xml:space="preserve">      </t>
    </r>
    <r>
      <rPr>
        <sz val="10"/>
        <rFont val="宋体"/>
        <charset val="134"/>
      </rPr>
      <t>残疾人生活和护理补贴</t>
    </r>
  </si>
  <si>
    <t>2081199</t>
  </si>
  <si>
    <r>
      <t xml:space="preserve">      </t>
    </r>
    <r>
      <rPr>
        <sz val="10"/>
        <rFont val="宋体"/>
        <charset val="134"/>
      </rPr>
      <t>其他残疾人事业支出</t>
    </r>
  </si>
  <si>
    <r>
      <t xml:space="preserve">    </t>
    </r>
    <r>
      <rPr>
        <b/>
        <sz val="10"/>
        <rFont val="宋体"/>
        <charset val="134"/>
      </rPr>
      <t>红十字事业</t>
    </r>
  </si>
  <si>
    <t>2081601</t>
  </si>
  <si>
    <t>2081602</t>
  </si>
  <si>
    <t>2081603</t>
  </si>
  <si>
    <t>2081650</t>
  </si>
  <si>
    <t>2081699</t>
  </si>
  <si>
    <r>
      <t xml:space="preserve">      </t>
    </r>
    <r>
      <rPr>
        <sz val="10"/>
        <rFont val="宋体"/>
        <charset val="134"/>
      </rPr>
      <t>其他红十字事业支出</t>
    </r>
  </si>
  <si>
    <r>
      <t xml:space="preserve">    </t>
    </r>
    <r>
      <rPr>
        <b/>
        <sz val="10"/>
        <rFont val="宋体"/>
        <charset val="134"/>
      </rPr>
      <t>最低生活保障</t>
    </r>
  </si>
  <si>
    <t>2081901</t>
  </si>
  <si>
    <r>
      <t xml:space="preserve">      </t>
    </r>
    <r>
      <rPr>
        <sz val="10"/>
        <rFont val="宋体"/>
        <charset val="134"/>
      </rPr>
      <t>城市最低生活保障金支出</t>
    </r>
  </si>
  <si>
    <t>2081902</t>
  </si>
  <si>
    <r>
      <t xml:space="preserve">      </t>
    </r>
    <r>
      <rPr>
        <sz val="10"/>
        <rFont val="宋体"/>
        <charset val="134"/>
      </rPr>
      <t>农村最低生活保障金支出</t>
    </r>
  </si>
  <si>
    <r>
      <t xml:space="preserve">    </t>
    </r>
    <r>
      <rPr>
        <b/>
        <sz val="10"/>
        <rFont val="宋体"/>
        <charset val="134"/>
      </rPr>
      <t>临时救助</t>
    </r>
  </si>
  <si>
    <t>2082001</t>
  </si>
  <si>
    <r>
      <t xml:space="preserve">      </t>
    </r>
    <r>
      <rPr>
        <sz val="10"/>
        <rFont val="宋体"/>
        <charset val="134"/>
      </rPr>
      <t>临时救助支出</t>
    </r>
  </si>
  <si>
    <t>2082002</t>
  </si>
  <si>
    <r>
      <t xml:space="preserve">      </t>
    </r>
    <r>
      <rPr>
        <sz val="10"/>
        <rFont val="宋体"/>
        <charset val="134"/>
      </rPr>
      <t>流浪乞讨人员救助支出</t>
    </r>
  </si>
  <si>
    <r>
      <t xml:space="preserve">    </t>
    </r>
    <r>
      <rPr>
        <b/>
        <sz val="10"/>
        <rFont val="宋体"/>
        <charset val="134"/>
      </rPr>
      <t>特困人员救助供养</t>
    </r>
  </si>
  <si>
    <t>2082101</t>
  </si>
  <si>
    <r>
      <t xml:space="preserve">      </t>
    </r>
    <r>
      <rPr>
        <sz val="10"/>
        <rFont val="宋体"/>
        <charset val="134"/>
      </rPr>
      <t>城市特困人员救助供养支出</t>
    </r>
  </si>
  <si>
    <t>2082102</t>
  </si>
  <si>
    <r>
      <t xml:space="preserve">      </t>
    </r>
    <r>
      <rPr>
        <sz val="10"/>
        <rFont val="宋体"/>
        <charset val="134"/>
      </rPr>
      <t>农村特困人员救助供养支出</t>
    </r>
  </si>
  <si>
    <r>
      <t xml:space="preserve">    </t>
    </r>
    <r>
      <rPr>
        <b/>
        <sz val="10"/>
        <rFont val="宋体"/>
        <charset val="134"/>
      </rPr>
      <t>补充道路交通事故社会救助基金</t>
    </r>
  </si>
  <si>
    <t>2082401</t>
  </si>
  <si>
    <r>
      <t xml:space="preserve">      </t>
    </r>
    <r>
      <rPr>
        <sz val="10"/>
        <rFont val="宋体"/>
        <charset val="134"/>
      </rPr>
      <t>对道路交通事故社会救助补助基金支出</t>
    </r>
  </si>
  <si>
    <t>2082402</t>
  </si>
  <si>
    <r>
      <t xml:space="preserve">      </t>
    </r>
    <r>
      <rPr>
        <sz val="10"/>
        <rFont val="宋体"/>
        <charset val="134"/>
      </rPr>
      <t>交强险罚款收入补助基金支出</t>
    </r>
  </si>
  <si>
    <r>
      <t xml:space="preserve">    </t>
    </r>
    <r>
      <rPr>
        <b/>
        <sz val="10"/>
        <rFont val="宋体"/>
        <charset val="134"/>
      </rPr>
      <t>其他生活救助</t>
    </r>
  </si>
  <si>
    <t>2082501</t>
  </si>
  <si>
    <r>
      <t xml:space="preserve">      </t>
    </r>
    <r>
      <rPr>
        <sz val="10"/>
        <rFont val="宋体"/>
        <charset val="134"/>
      </rPr>
      <t>其他城市生活救助</t>
    </r>
  </si>
  <si>
    <t>2082502</t>
  </si>
  <si>
    <r>
      <t xml:space="preserve">      </t>
    </r>
    <r>
      <rPr>
        <sz val="10"/>
        <rFont val="宋体"/>
        <charset val="134"/>
      </rPr>
      <t>其他农村生活救助</t>
    </r>
  </si>
  <si>
    <r>
      <t xml:space="preserve">    </t>
    </r>
    <r>
      <rPr>
        <b/>
        <sz val="10"/>
        <rFont val="宋体"/>
        <charset val="134"/>
      </rPr>
      <t>财政对基本养老保险基金的补助</t>
    </r>
  </si>
  <si>
    <t>2082601</t>
  </si>
  <si>
    <r>
      <t xml:space="preserve">      </t>
    </r>
    <r>
      <rPr>
        <sz val="10"/>
        <rFont val="宋体"/>
        <charset val="134"/>
      </rPr>
      <t>财政对企业职工基本养老保险基金的补助</t>
    </r>
  </si>
  <si>
    <t>2082602</t>
  </si>
  <si>
    <r>
      <t xml:space="preserve">      </t>
    </r>
    <r>
      <rPr>
        <sz val="10"/>
        <rFont val="宋体"/>
        <charset val="134"/>
      </rPr>
      <t>财政对城乡居民基本养老保险基金的补助</t>
    </r>
  </si>
  <si>
    <t>2082699</t>
  </si>
  <si>
    <r>
      <t xml:space="preserve">      </t>
    </r>
    <r>
      <rPr>
        <sz val="10"/>
        <rFont val="宋体"/>
        <charset val="134"/>
      </rPr>
      <t>财政对其他基本养老保险基金的补助</t>
    </r>
  </si>
  <si>
    <r>
      <t xml:space="preserve">    </t>
    </r>
    <r>
      <rPr>
        <b/>
        <sz val="10"/>
        <rFont val="宋体"/>
        <charset val="134"/>
      </rPr>
      <t>财政对其他社会保险基金的补助</t>
    </r>
  </si>
  <si>
    <t>2082701</t>
  </si>
  <si>
    <r>
      <t xml:space="preserve">      </t>
    </r>
    <r>
      <rPr>
        <sz val="10"/>
        <rFont val="宋体"/>
        <charset val="134"/>
      </rPr>
      <t>财政对失业保险基金的补助</t>
    </r>
  </si>
  <si>
    <t>2082702</t>
  </si>
  <si>
    <r>
      <t xml:space="preserve">      </t>
    </r>
    <r>
      <rPr>
        <sz val="10"/>
        <rFont val="宋体"/>
        <charset val="134"/>
      </rPr>
      <t>财政对工伤保险基金的补助</t>
    </r>
  </si>
  <si>
    <t>2082799</t>
  </si>
  <si>
    <r>
      <t xml:space="preserve">      </t>
    </r>
    <r>
      <rPr>
        <sz val="10"/>
        <rFont val="宋体"/>
        <charset val="134"/>
      </rPr>
      <t>其他财政对社会保险基金的补助</t>
    </r>
  </si>
  <si>
    <r>
      <t xml:space="preserve">    </t>
    </r>
    <r>
      <rPr>
        <b/>
        <sz val="10"/>
        <rFont val="宋体"/>
        <charset val="134"/>
      </rPr>
      <t>退役军人管理事务</t>
    </r>
  </si>
  <si>
    <t>2082801</t>
  </si>
  <si>
    <t>2082802</t>
  </si>
  <si>
    <t>2082803</t>
  </si>
  <si>
    <t>2082804</t>
  </si>
  <si>
    <r>
      <t xml:space="preserve">      </t>
    </r>
    <r>
      <rPr>
        <sz val="10"/>
        <rFont val="宋体"/>
        <charset val="134"/>
      </rPr>
      <t>拥军优属</t>
    </r>
  </si>
  <si>
    <t>2082805</t>
  </si>
  <si>
    <r>
      <t xml:space="preserve">      </t>
    </r>
    <r>
      <rPr>
        <sz val="10"/>
        <rFont val="宋体"/>
        <charset val="134"/>
      </rPr>
      <t>军供保障</t>
    </r>
  </si>
  <si>
    <t>2082806</t>
  </si>
  <si>
    <t>2082850</t>
  </si>
  <si>
    <t>2082899</t>
  </si>
  <si>
    <r>
      <t xml:space="preserve">      </t>
    </r>
    <r>
      <rPr>
        <sz val="10"/>
        <rFont val="宋体"/>
        <charset val="134"/>
      </rPr>
      <t>其他退役军人事务管理支出</t>
    </r>
  </si>
  <si>
    <r>
      <t xml:space="preserve">    </t>
    </r>
    <r>
      <rPr>
        <b/>
        <sz val="10"/>
        <rFont val="宋体"/>
        <charset val="134"/>
      </rPr>
      <t>财政代缴社会保险费支出</t>
    </r>
  </si>
  <si>
    <t>2083001</t>
  </si>
  <si>
    <r>
      <t xml:space="preserve">      </t>
    </r>
    <r>
      <rPr>
        <sz val="10"/>
        <rFont val="宋体"/>
        <charset val="134"/>
      </rPr>
      <t>财政代缴城乡居民基本养老保险费支出</t>
    </r>
  </si>
  <si>
    <t>2083099</t>
  </si>
  <si>
    <r>
      <t xml:space="preserve">      </t>
    </r>
    <r>
      <rPr>
        <sz val="10"/>
        <rFont val="宋体"/>
        <charset val="134"/>
      </rPr>
      <t>财政代缴其他社会保险费支出</t>
    </r>
  </si>
  <si>
    <r>
      <t xml:space="preserve">    </t>
    </r>
    <r>
      <rPr>
        <b/>
        <sz val="10"/>
        <rFont val="宋体"/>
        <charset val="134"/>
      </rPr>
      <t>其他社会保障和就业支出</t>
    </r>
  </si>
  <si>
    <t>2089999</t>
  </si>
  <si>
    <r>
      <t xml:space="preserve">      </t>
    </r>
    <r>
      <rPr>
        <sz val="10"/>
        <rFont val="宋体"/>
        <charset val="134"/>
      </rPr>
      <t>其他社会保障和就业支出</t>
    </r>
  </si>
  <si>
    <r>
      <t xml:space="preserve">    </t>
    </r>
    <r>
      <rPr>
        <b/>
        <sz val="10"/>
        <rFont val="宋体"/>
        <charset val="134"/>
      </rPr>
      <t>卫生健康管理事务</t>
    </r>
  </si>
  <si>
    <t>2100101</t>
  </si>
  <si>
    <t>2100102</t>
  </si>
  <si>
    <t>2100103</t>
  </si>
  <si>
    <t>2100199</t>
  </si>
  <si>
    <r>
      <t xml:space="preserve">      </t>
    </r>
    <r>
      <rPr>
        <sz val="10"/>
        <rFont val="宋体"/>
        <charset val="134"/>
      </rPr>
      <t>其他卫生健康管理事务支出</t>
    </r>
  </si>
  <si>
    <r>
      <t xml:space="preserve">    </t>
    </r>
    <r>
      <rPr>
        <b/>
        <sz val="10"/>
        <rFont val="宋体"/>
        <charset val="134"/>
      </rPr>
      <t>公立医院</t>
    </r>
  </si>
  <si>
    <t>2100201</t>
  </si>
  <si>
    <r>
      <t xml:space="preserve">      </t>
    </r>
    <r>
      <rPr>
        <sz val="10"/>
        <rFont val="宋体"/>
        <charset val="134"/>
      </rPr>
      <t>综合医院</t>
    </r>
  </si>
  <si>
    <t>2100202</t>
  </si>
  <si>
    <r>
      <t xml:space="preserve">      </t>
    </r>
    <r>
      <rPr>
        <sz val="10"/>
        <rFont val="宋体"/>
        <charset val="134"/>
      </rPr>
      <t>中医（民族）医院</t>
    </r>
  </si>
  <si>
    <t>2100203</t>
  </si>
  <si>
    <r>
      <t xml:space="preserve">      </t>
    </r>
    <r>
      <rPr>
        <sz val="10"/>
        <rFont val="宋体"/>
        <charset val="134"/>
      </rPr>
      <t>传染病医院</t>
    </r>
  </si>
  <si>
    <t>2100204</t>
  </si>
  <si>
    <r>
      <t xml:space="preserve">      </t>
    </r>
    <r>
      <rPr>
        <sz val="10"/>
        <rFont val="宋体"/>
        <charset val="134"/>
      </rPr>
      <t>职业病防治医院</t>
    </r>
  </si>
  <si>
    <t>2100205</t>
  </si>
  <si>
    <r>
      <t xml:space="preserve">      </t>
    </r>
    <r>
      <rPr>
        <sz val="10"/>
        <rFont val="宋体"/>
        <charset val="134"/>
      </rPr>
      <t>精神病医院</t>
    </r>
  </si>
  <si>
    <t>2100206</t>
  </si>
  <si>
    <r>
      <t xml:space="preserve">      </t>
    </r>
    <r>
      <rPr>
        <sz val="10"/>
        <rFont val="宋体"/>
        <charset val="134"/>
      </rPr>
      <t>妇幼保健医院</t>
    </r>
  </si>
  <si>
    <t>2100207</t>
  </si>
  <si>
    <r>
      <t xml:space="preserve">      </t>
    </r>
    <r>
      <rPr>
        <sz val="10"/>
        <rFont val="宋体"/>
        <charset val="134"/>
      </rPr>
      <t>儿童医院</t>
    </r>
  </si>
  <si>
    <t>2100208</t>
  </si>
  <si>
    <r>
      <t xml:space="preserve">      </t>
    </r>
    <r>
      <rPr>
        <sz val="10"/>
        <rFont val="宋体"/>
        <charset val="134"/>
      </rPr>
      <t>其他专科医院</t>
    </r>
  </si>
  <si>
    <t>2100209</t>
  </si>
  <si>
    <r>
      <t xml:space="preserve">      </t>
    </r>
    <r>
      <rPr>
        <sz val="10"/>
        <rFont val="宋体"/>
        <charset val="134"/>
      </rPr>
      <t>福利医院</t>
    </r>
  </si>
  <si>
    <t>2100210</t>
  </si>
  <si>
    <r>
      <t xml:space="preserve">      </t>
    </r>
    <r>
      <rPr>
        <sz val="10"/>
        <rFont val="宋体"/>
        <charset val="134"/>
      </rPr>
      <t>行业医院</t>
    </r>
  </si>
  <si>
    <t>2100211</t>
  </si>
  <si>
    <r>
      <t xml:space="preserve">      </t>
    </r>
    <r>
      <rPr>
        <sz val="10"/>
        <rFont val="宋体"/>
        <charset val="134"/>
      </rPr>
      <t>处理医疗欠费</t>
    </r>
  </si>
  <si>
    <t>2100212</t>
  </si>
  <si>
    <r>
      <t xml:space="preserve">      </t>
    </r>
    <r>
      <rPr>
        <sz val="10"/>
        <rFont val="宋体"/>
        <charset val="134"/>
      </rPr>
      <t>康复医院</t>
    </r>
  </si>
  <si>
    <t>2100213</t>
  </si>
  <si>
    <r>
      <t xml:space="preserve">      </t>
    </r>
    <r>
      <rPr>
        <sz val="10"/>
        <rFont val="宋体"/>
        <charset val="134"/>
      </rPr>
      <t>优抚医院</t>
    </r>
  </si>
  <si>
    <t>2100299</t>
  </si>
  <si>
    <r>
      <t xml:space="preserve">      </t>
    </r>
    <r>
      <rPr>
        <sz val="10"/>
        <rFont val="宋体"/>
        <charset val="134"/>
      </rPr>
      <t>其他公立医院支出</t>
    </r>
  </si>
  <si>
    <r>
      <t xml:space="preserve">    </t>
    </r>
    <r>
      <rPr>
        <b/>
        <sz val="10"/>
        <rFont val="宋体"/>
        <charset val="134"/>
      </rPr>
      <t>基层医疗卫生机构</t>
    </r>
  </si>
  <si>
    <t>2100301</t>
  </si>
  <si>
    <r>
      <t xml:space="preserve">      </t>
    </r>
    <r>
      <rPr>
        <sz val="10"/>
        <rFont val="宋体"/>
        <charset val="134"/>
      </rPr>
      <t>城市社区卫生机构</t>
    </r>
  </si>
  <si>
    <t>2100302</t>
  </si>
  <si>
    <r>
      <t xml:space="preserve">      </t>
    </r>
    <r>
      <rPr>
        <sz val="10"/>
        <rFont val="宋体"/>
        <charset val="134"/>
      </rPr>
      <t>乡镇卫生院</t>
    </r>
  </si>
  <si>
    <t>2100399</t>
  </si>
  <si>
    <r>
      <t xml:space="preserve">      </t>
    </r>
    <r>
      <rPr>
        <sz val="10"/>
        <rFont val="宋体"/>
        <charset val="134"/>
      </rPr>
      <t>其他基层医疗卫生机构支出</t>
    </r>
  </si>
  <si>
    <r>
      <t xml:space="preserve">    </t>
    </r>
    <r>
      <rPr>
        <b/>
        <sz val="10"/>
        <rFont val="宋体"/>
        <charset val="134"/>
      </rPr>
      <t>公共卫生</t>
    </r>
  </si>
  <si>
    <t>2100401</t>
  </si>
  <si>
    <r>
      <t xml:space="preserve">      </t>
    </r>
    <r>
      <rPr>
        <sz val="10"/>
        <rFont val="宋体"/>
        <charset val="134"/>
      </rPr>
      <t>疾病预防控制机构</t>
    </r>
  </si>
  <si>
    <t>2100402</t>
  </si>
  <si>
    <r>
      <t xml:space="preserve">      </t>
    </r>
    <r>
      <rPr>
        <sz val="10"/>
        <rFont val="宋体"/>
        <charset val="134"/>
      </rPr>
      <t>卫生监督机构</t>
    </r>
  </si>
  <si>
    <t>2100403</t>
  </si>
  <si>
    <r>
      <t xml:space="preserve">      </t>
    </r>
    <r>
      <rPr>
        <sz val="10"/>
        <rFont val="宋体"/>
        <charset val="134"/>
      </rPr>
      <t>妇幼保健机构</t>
    </r>
  </si>
  <si>
    <t>2100404</t>
  </si>
  <si>
    <r>
      <t xml:space="preserve">      </t>
    </r>
    <r>
      <rPr>
        <sz val="10"/>
        <rFont val="宋体"/>
        <charset val="134"/>
      </rPr>
      <t>精神卫生机构</t>
    </r>
  </si>
  <si>
    <t>2100405</t>
  </si>
  <si>
    <r>
      <t xml:space="preserve">      </t>
    </r>
    <r>
      <rPr>
        <sz val="10"/>
        <rFont val="宋体"/>
        <charset val="134"/>
      </rPr>
      <t>应急救治机构</t>
    </r>
  </si>
  <si>
    <t>2100406</t>
  </si>
  <si>
    <r>
      <t xml:space="preserve">      </t>
    </r>
    <r>
      <rPr>
        <sz val="10"/>
        <rFont val="宋体"/>
        <charset val="134"/>
      </rPr>
      <t>采供血机构</t>
    </r>
  </si>
  <si>
    <t>2100407</t>
  </si>
  <si>
    <r>
      <t xml:space="preserve">      </t>
    </r>
    <r>
      <rPr>
        <sz val="10"/>
        <rFont val="宋体"/>
        <charset val="134"/>
      </rPr>
      <t>其他专业公共卫生机构</t>
    </r>
  </si>
  <si>
    <t>2100408</t>
  </si>
  <si>
    <r>
      <t xml:space="preserve">      </t>
    </r>
    <r>
      <rPr>
        <sz val="10"/>
        <rFont val="宋体"/>
        <charset val="134"/>
      </rPr>
      <t>基本公共卫生服务</t>
    </r>
  </si>
  <si>
    <t>2100409</t>
  </si>
  <si>
    <r>
      <t xml:space="preserve">      </t>
    </r>
    <r>
      <rPr>
        <sz val="10"/>
        <rFont val="宋体"/>
        <charset val="134"/>
      </rPr>
      <t>重大公共卫生服务</t>
    </r>
  </si>
  <si>
    <t>2100410</t>
  </si>
  <si>
    <r>
      <t xml:space="preserve">      </t>
    </r>
    <r>
      <rPr>
        <sz val="10"/>
        <rFont val="宋体"/>
        <charset val="134"/>
      </rPr>
      <t>突发公共卫生事件应急处置</t>
    </r>
  </si>
  <si>
    <t>2100499</t>
  </si>
  <si>
    <r>
      <t xml:space="preserve">      </t>
    </r>
    <r>
      <rPr>
        <sz val="10"/>
        <rFont val="宋体"/>
        <charset val="134"/>
      </rPr>
      <t>其他公共卫生支出</t>
    </r>
  </si>
  <si>
    <r>
      <t xml:space="preserve">    </t>
    </r>
    <r>
      <rPr>
        <b/>
        <sz val="10"/>
        <rFont val="宋体"/>
        <charset val="134"/>
      </rPr>
      <t>计划生育事务</t>
    </r>
  </si>
  <si>
    <t>2100716</t>
  </si>
  <si>
    <r>
      <t xml:space="preserve">      </t>
    </r>
    <r>
      <rPr>
        <sz val="10"/>
        <rFont val="宋体"/>
        <charset val="134"/>
      </rPr>
      <t>计划生育机构</t>
    </r>
  </si>
  <si>
    <t>2100717</t>
  </si>
  <si>
    <r>
      <t xml:space="preserve">      </t>
    </r>
    <r>
      <rPr>
        <sz val="10"/>
        <rFont val="宋体"/>
        <charset val="134"/>
      </rPr>
      <t>计划生育服务</t>
    </r>
  </si>
  <si>
    <t>2100799</t>
  </si>
  <si>
    <r>
      <t xml:space="preserve">      </t>
    </r>
    <r>
      <rPr>
        <sz val="10"/>
        <rFont val="宋体"/>
        <charset val="134"/>
      </rPr>
      <t>其他计划生育事务支出</t>
    </r>
  </si>
  <si>
    <r>
      <t xml:space="preserve">    </t>
    </r>
    <r>
      <rPr>
        <b/>
        <sz val="10"/>
        <rFont val="宋体"/>
        <charset val="134"/>
      </rPr>
      <t>行政事业单位医疗</t>
    </r>
  </si>
  <si>
    <t>2101101</t>
  </si>
  <si>
    <r>
      <t xml:space="preserve">      </t>
    </r>
    <r>
      <rPr>
        <sz val="10"/>
        <rFont val="宋体"/>
        <charset val="134"/>
      </rPr>
      <t>行政单位医疗</t>
    </r>
  </si>
  <si>
    <t>2101102</t>
  </si>
  <si>
    <r>
      <t xml:space="preserve">      </t>
    </r>
    <r>
      <rPr>
        <sz val="10"/>
        <rFont val="宋体"/>
        <charset val="134"/>
      </rPr>
      <t>事业单位医疗</t>
    </r>
  </si>
  <si>
    <t>2101103</t>
  </si>
  <si>
    <r>
      <t xml:space="preserve">      </t>
    </r>
    <r>
      <rPr>
        <sz val="10"/>
        <rFont val="宋体"/>
        <charset val="134"/>
      </rPr>
      <t>公务员医疗补助</t>
    </r>
  </si>
  <si>
    <t>2101199</t>
  </si>
  <si>
    <r>
      <t xml:space="preserve">      </t>
    </r>
    <r>
      <rPr>
        <sz val="10"/>
        <rFont val="宋体"/>
        <charset val="134"/>
      </rPr>
      <t>其他行政事业单位医疗支出</t>
    </r>
  </si>
  <si>
    <r>
      <t xml:space="preserve">    </t>
    </r>
    <r>
      <rPr>
        <b/>
        <sz val="10"/>
        <rFont val="宋体"/>
        <charset val="134"/>
      </rPr>
      <t>财政对基本医疗保险基金的补助</t>
    </r>
  </si>
  <si>
    <t>2101201</t>
  </si>
  <si>
    <r>
      <t xml:space="preserve">      </t>
    </r>
    <r>
      <rPr>
        <sz val="10"/>
        <rFont val="宋体"/>
        <charset val="134"/>
      </rPr>
      <t>财政对职工基本医疗保险基金的补助</t>
    </r>
  </si>
  <si>
    <t>2101202</t>
  </si>
  <si>
    <r>
      <t xml:space="preserve">      </t>
    </r>
    <r>
      <rPr>
        <sz val="10"/>
        <rFont val="宋体"/>
        <charset val="134"/>
      </rPr>
      <t>财政对城乡居民基本医疗保险基金的补助</t>
    </r>
  </si>
  <si>
    <t>2101299</t>
  </si>
  <si>
    <r>
      <t xml:space="preserve">      </t>
    </r>
    <r>
      <rPr>
        <sz val="10"/>
        <rFont val="宋体"/>
        <charset val="134"/>
      </rPr>
      <t>财政对其他基本医疗保险基金的补助</t>
    </r>
  </si>
  <si>
    <r>
      <t xml:space="preserve">    </t>
    </r>
    <r>
      <rPr>
        <b/>
        <sz val="10"/>
        <rFont val="宋体"/>
        <charset val="134"/>
      </rPr>
      <t>医疗救助</t>
    </r>
  </si>
  <si>
    <t>2101301</t>
  </si>
  <si>
    <r>
      <t xml:space="preserve">      </t>
    </r>
    <r>
      <rPr>
        <sz val="10"/>
        <rFont val="宋体"/>
        <charset val="134"/>
      </rPr>
      <t>城乡医疗救助</t>
    </r>
  </si>
  <si>
    <t>2101302</t>
  </si>
  <si>
    <r>
      <t xml:space="preserve">      </t>
    </r>
    <r>
      <rPr>
        <sz val="10"/>
        <rFont val="宋体"/>
        <charset val="134"/>
      </rPr>
      <t>疾病应急救助</t>
    </r>
  </si>
  <si>
    <t>2101399</t>
  </si>
  <si>
    <r>
      <t xml:space="preserve">      </t>
    </r>
    <r>
      <rPr>
        <sz val="10"/>
        <rFont val="宋体"/>
        <charset val="134"/>
      </rPr>
      <t>其他医疗救助支出</t>
    </r>
  </si>
  <si>
    <r>
      <t xml:space="preserve">    </t>
    </r>
    <r>
      <rPr>
        <b/>
        <sz val="10"/>
        <rFont val="宋体"/>
        <charset val="134"/>
      </rPr>
      <t>优抚对象医疗</t>
    </r>
  </si>
  <si>
    <t>2101401</t>
  </si>
  <si>
    <r>
      <t xml:space="preserve">      </t>
    </r>
    <r>
      <rPr>
        <sz val="10"/>
        <rFont val="宋体"/>
        <charset val="134"/>
      </rPr>
      <t>优抚对象医疗补助</t>
    </r>
  </si>
  <si>
    <t>2101499</t>
  </si>
  <si>
    <r>
      <t xml:space="preserve">      </t>
    </r>
    <r>
      <rPr>
        <sz val="10"/>
        <rFont val="宋体"/>
        <charset val="134"/>
      </rPr>
      <t>其他优抚对象医疗支出</t>
    </r>
  </si>
  <si>
    <r>
      <t xml:space="preserve">    </t>
    </r>
    <r>
      <rPr>
        <b/>
        <sz val="10"/>
        <rFont val="宋体"/>
        <charset val="134"/>
      </rPr>
      <t>医疗保障管理事务</t>
    </r>
  </si>
  <si>
    <t>2101501</t>
  </si>
  <si>
    <t>2101502</t>
  </si>
  <si>
    <t>2101503</t>
  </si>
  <si>
    <t>2101504</t>
  </si>
  <si>
    <t>2101505</t>
  </si>
  <si>
    <r>
      <t xml:space="preserve">      </t>
    </r>
    <r>
      <rPr>
        <sz val="10"/>
        <rFont val="宋体"/>
        <charset val="134"/>
      </rPr>
      <t>医疗保障政策管理</t>
    </r>
  </si>
  <si>
    <t>2101506</t>
  </si>
  <si>
    <r>
      <t xml:space="preserve">      </t>
    </r>
    <r>
      <rPr>
        <sz val="10"/>
        <rFont val="宋体"/>
        <charset val="134"/>
      </rPr>
      <t>医疗保障经办事务</t>
    </r>
  </si>
  <si>
    <t>2101550</t>
  </si>
  <si>
    <t>2101599</t>
  </si>
  <si>
    <r>
      <t xml:space="preserve">      </t>
    </r>
    <r>
      <rPr>
        <sz val="10"/>
        <rFont val="宋体"/>
        <charset val="134"/>
      </rPr>
      <t>其他医疗保障管理事务支出</t>
    </r>
  </si>
  <si>
    <r>
      <t xml:space="preserve">    </t>
    </r>
    <r>
      <rPr>
        <b/>
        <sz val="10"/>
        <rFont val="宋体"/>
        <charset val="134"/>
      </rPr>
      <t>中医药事务</t>
    </r>
  </si>
  <si>
    <t>2101701</t>
  </si>
  <si>
    <t>2101702</t>
  </si>
  <si>
    <t>2101703</t>
  </si>
  <si>
    <t>2101704</t>
  </si>
  <si>
    <r>
      <t xml:space="preserve">      </t>
    </r>
    <r>
      <rPr>
        <sz val="10"/>
        <rFont val="宋体"/>
        <charset val="134"/>
      </rPr>
      <t>中医（民族医）药专项</t>
    </r>
  </si>
  <si>
    <t>2101750</t>
  </si>
  <si>
    <t>2101799</t>
  </si>
  <si>
    <r>
      <t xml:space="preserve">      </t>
    </r>
    <r>
      <rPr>
        <sz val="10"/>
        <rFont val="宋体"/>
        <charset val="134"/>
      </rPr>
      <t>其他中医药支出</t>
    </r>
  </si>
  <si>
    <r>
      <t xml:space="preserve">    </t>
    </r>
    <r>
      <rPr>
        <b/>
        <sz val="10"/>
        <rFont val="宋体"/>
        <charset val="134"/>
      </rPr>
      <t>疾病预防控制事务</t>
    </r>
  </si>
  <si>
    <t>2101801</t>
  </si>
  <si>
    <t>2101802</t>
  </si>
  <si>
    <t>2101803</t>
  </si>
  <si>
    <t>2101899</t>
  </si>
  <si>
    <r>
      <t xml:space="preserve">      </t>
    </r>
    <r>
      <rPr>
        <sz val="10"/>
        <rFont val="宋体"/>
        <charset val="134"/>
      </rPr>
      <t>其他疾病预防控制事务支出</t>
    </r>
  </si>
  <si>
    <r>
      <t xml:space="preserve">    </t>
    </r>
    <r>
      <rPr>
        <b/>
        <sz val="10"/>
        <rFont val="宋体"/>
        <charset val="134"/>
      </rPr>
      <t>托育服务</t>
    </r>
  </si>
  <si>
    <t>2101901</t>
  </si>
  <si>
    <r>
      <t xml:space="preserve">      </t>
    </r>
    <r>
      <rPr>
        <sz val="10"/>
        <rFont val="宋体"/>
        <charset val="134"/>
      </rPr>
      <t>托育机构</t>
    </r>
  </si>
  <si>
    <t>2101902</t>
  </si>
  <si>
    <r>
      <t xml:space="preserve">      </t>
    </r>
    <r>
      <rPr>
        <sz val="10"/>
        <rFont val="宋体"/>
        <charset val="134"/>
      </rPr>
      <t>育儿补贴</t>
    </r>
  </si>
  <si>
    <t>2101999</t>
  </si>
  <si>
    <r>
      <t xml:space="preserve">      </t>
    </r>
    <r>
      <rPr>
        <sz val="10"/>
        <rFont val="宋体"/>
        <charset val="134"/>
      </rPr>
      <t>其他托育服务支出</t>
    </r>
  </si>
  <si>
    <r>
      <t xml:space="preserve">    </t>
    </r>
    <r>
      <rPr>
        <b/>
        <sz val="10"/>
        <rFont val="宋体"/>
        <charset val="134"/>
      </rPr>
      <t>其他卫生健康支出</t>
    </r>
  </si>
  <si>
    <t>2109999</t>
  </si>
  <si>
    <r>
      <t xml:space="preserve">    </t>
    </r>
    <r>
      <rPr>
        <b/>
        <sz val="10"/>
        <rFont val="宋体"/>
        <charset val="134"/>
      </rPr>
      <t>环境保护管理事务</t>
    </r>
  </si>
  <si>
    <t>2110101</t>
  </si>
  <si>
    <t>2110102</t>
  </si>
  <si>
    <t>2110103</t>
  </si>
  <si>
    <t>2110104</t>
  </si>
  <si>
    <r>
      <t xml:space="preserve">      </t>
    </r>
    <r>
      <rPr>
        <sz val="10"/>
        <rFont val="宋体"/>
        <charset val="134"/>
      </rPr>
      <t>生态环境保护宣传</t>
    </r>
  </si>
  <si>
    <t>2110105</t>
  </si>
  <si>
    <r>
      <t xml:space="preserve">      </t>
    </r>
    <r>
      <rPr>
        <sz val="10"/>
        <rFont val="宋体"/>
        <charset val="134"/>
      </rPr>
      <t>环境保护法规、规划及标准</t>
    </r>
  </si>
  <si>
    <t>2110106</t>
  </si>
  <si>
    <r>
      <t xml:space="preserve">      </t>
    </r>
    <r>
      <rPr>
        <sz val="10"/>
        <rFont val="宋体"/>
        <charset val="134"/>
      </rPr>
      <t>生态环境国际合作及履约</t>
    </r>
  </si>
  <si>
    <t>2110107</t>
  </si>
  <si>
    <r>
      <t xml:space="preserve">      </t>
    </r>
    <r>
      <rPr>
        <sz val="10"/>
        <rFont val="宋体"/>
        <charset val="134"/>
      </rPr>
      <t>生态环境保护行政许可</t>
    </r>
  </si>
  <si>
    <t>2110108</t>
  </si>
  <si>
    <r>
      <t xml:space="preserve">      </t>
    </r>
    <r>
      <rPr>
        <sz val="10"/>
        <rFont val="宋体"/>
        <charset val="134"/>
      </rPr>
      <t>应对气候变化管理事务</t>
    </r>
  </si>
  <si>
    <t>2110199</t>
  </si>
  <si>
    <r>
      <t xml:space="preserve">      </t>
    </r>
    <r>
      <rPr>
        <sz val="10"/>
        <rFont val="宋体"/>
        <charset val="134"/>
      </rPr>
      <t>其他环境保护管理事务支出</t>
    </r>
  </si>
  <si>
    <r>
      <t xml:space="preserve">    </t>
    </r>
    <r>
      <rPr>
        <b/>
        <sz val="10"/>
        <rFont val="宋体"/>
        <charset val="134"/>
      </rPr>
      <t>环境监测与监察</t>
    </r>
  </si>
  <si>
    <t>2110203</t>
  </si>
  <si>
    <r>
      <t xml:space="preserve">      </t>
    </r>
    <r>
      <rPr>
        <sz val="10"/>
        <rFont val="宋体"/>
        <charset val="134"/>
      </rPr>
      <t>建设项目环评审查与监督</t>
    </r>
  </si>
  <si>
    <t>2110204</t>
  </si>
  <si>
    <r>
      <t xml:space="preserve">      </t>
    </r>
    <r>
      <rPr>
        <sz val="10"/>
        <rFont val="宋体"/>
        <charset val="134"/>
      </rPr>
      <t>核与辐射安全监督</t>
    </r>
  </si>
  <si>
    <t>2110299</t>
  </si>
  <si>
    <r>
      <t xml:space="preserve">      </t>
    </r>
    <r>
      <rPr>
        <sz val="10"/>
        <rFont val="宋体"/>
        <charset val="134"/>
      </rPr>
      <t>其他环境监测与监察支出</t>
    </r>
  </si>
  <si>
    <r>
      <t xml:space="preserve">    </t>
    </r>
    <r>
      <rPr>
        <b/>
        <sz val="10"/>
        <rFont val="宋体"/>
        <charset val="134"/>
      </rPr>
      <t>污染防治</t>
    </r>
  </si>
  <si>
    <t>2110301</t>
  </si>
  <si>
    <r>
      <t xml:space="preserve">      </t>
    </r>
    <r>
      <rPr>
        <sz val="10"/>
        <rFont val="宋体"/>
        <charset val="134"/>
      </rPr>
      <t>大气</t>
    </r>
  </si>
  <si>
    <t>2110302</t>
  </si>
  <si>
    <r>
      <t xml:space="preserve">      </t>
    </r>
    <r>
      <rPr>
        <sz val="10"/>
        <rFont val="宋体"/>
        <charset val="134"/>
      </rPr>
      <t>水体</t>
    </r>
  </si>
  <si>
    <t>2110303</t>
  </si>
  <si>
    <r>
      <t xml:space="preserve">      </t>
    </r>
    <r>
      <rPr>
        <sz val="10"/>
        <rFont val="宋体"/>
        <charset val="134"/>
      </rPr>
      <t>噪声</t>
    </r>
  </si>
  <si>
    <t>2110304</t>
  </si>
  <si>
    <r>
      <t xml:space="preserve">      </t>
    </r>
    <r>
      <rPr>
        <sz val="10"/>
        <rFont val="宋体"/>
        <charset val="134"/>
      </rPr>
      <t>固体废弃物与化学品</t>
    </r>
  </si>
  <si>
    <t>2110305</t>
  </si>
  <si>
    <r>
      <t xml:space="preserve">      </t>
    </r>
    <r>
      <rPr>
        <sz val="10"/>
        <rFont val="宋体"/>
        <charset val="134"/>
      </rPr>
      <t>放射源和放射性废物监管</t>
    </r>
  </si>
  <si>
    <t>2110306</t>
  </si>
  <si>
    <r>
      <t xml:space="preserve">      </t>
    </r>
    <r>
      <rPr>
        <sz val="10"/>
        <rFont val="宋体"/>
        <charset val="134"/>
      </rPr>
      <t>辐射</t>
    </r>
  </si>
  <si>
    <t>2110307</t>
  </si>
  <si>
    <r>
      <t xml:space="preserve">      </t>
    </r>
    <r>
      <rPr>
        <sz val="10"/>
        <rFont val="宋体"/>
        <charset val="134"/>
      </rPr>
      <t>土壤</t>
    </r>
  </si>
  <si>
    <t>2110399</t>
  </si>
  <si>
    <r>
      <t xml:space="preserve">      </t>
    </r>
    <r>
      <rPr>
        <sz val="10"/>
        <rFont val="宋体"/>
        <charset val="134"/>
      </rPr>
      <t>其他污染防治支出</t>
    </r>
  </si>
  <si>
    <r>
      <t xml:space="preserve">    </t>
    </r>
    <r>
      <rPr>
        <b/>
        <sz val="10"/>
        <rFont val="宋体"/>
        <charset val="134"/>
      </rPr>
      <t>自然生态保护</t>
    </r>
  </si>
  <si>
    <t>2110401</t>
  </si>
  <si>
    <r>
      <t xml:space="preserve">      </t>
    </r>
    <r>
      <rPr>
        <sz val="10"/>
        <rFont val="宋体"/>
        <charset val="134"/>
      </rPr>
      <t>生态保护</t>
    </r>
  </si>
  <si>
    <t>2110402</t>
  </si>
  <si>
    <r>
      <t xml:space="preserve">      </t>
    </r>
    <r>
      <rPr>
        <sz val="10"/>
        <rFont val="宋体"/>
        <charset val="134"/>
      </rPr>
      <t>农村环境保护</t>
    </r>
  </si>
  <si>
    <t>2110404</t>
  </si>
  <si>
    <r>
      <t xml:space="preserve">      </t>
    </r>
    <r>
      <rPr>
        <sz val="10"/>
        <rFont val="宋体"/>
        <charset val="134"/>
      </rPr>
      <t>生物及物种资源保护</t>
    </r>
  </si>
  <si>
    <t>2110405</t>
  </si>
  <si>
    <r>
      <t xml:space="preserve">      </t>
    </r>
    <r>
      <rPr>
        <sz val="10"/>
        <rFont val="宋体"/>
        <charset val="134"/>
      </rPr>
      <t>草原生态修复治理</t>
    </r>
  </si>
  <si>
    <t>2110406</t>
  </si>
  <si>
    <r>
      <t xml:space="preserve">      </t>
    </r>
    <r>
      <rPr>
        <sz val="10"/>
        <rFont val="宋体"/>
        <charset val="134"/>
      </rPr>
      <t>自然保护地</t>
    </r>
  </si>
  <si>
    <t>2110499</t>
  </si>
  <si>
    <r>
      <t xml:space="preserve">      </t>
    </r>
    <r>
      <rPr>
        <sz val="10"/>
        <rFont val="宋体"/>
        <charset val="134"/>
      </rPr>
      <t>其他自然生态保护支出</t>
    </r>
  </si>
  <si>
    <r>
      <t xml:space="preserve">    </t>
    </r>
    <r>
      <rPr>
        <b/>
        <sz val="10"/>
        <rFont val="宋体"/>
        <charset val="134"/>
      </rPr>
      <t>森林保护修复</t>
    </r>
  </si>
  <si>
    <t>2110501</t>
  </si>
  <si>
    <r>
      <t xml:space="preserve">      </t>
    </r>
    <r>
      <rPr>
        <sz val="10"/>
        <rFont val="宋体"/>
        <charset val="134"/>
      </rPr>
      <t>森林管护</t>
    </r>
  </si>
  <si>
    <t>2110502</t>
  </si>
  <si>
    <r>
      <t xml:space="preserve">      </t>
    </r>
    <r>
      <rPr>
        <sz val="10"/>
        <rFont val="宋体"/>
        <charset val="134"/>
      </rPr>
      <t>社会保险补助</t>
    </r>
  </si>
  <si>
    <t>2110503</t>
  </si>
  <si>
    <r>
      <t xml:space="preserve">      </t>
    </r>
    <r>
      <rPr>
        <sz val="10"/>
        <rFont val="宋体"/>
        <charset val="134"/>
      </rPr>
      <t>政策性社会性支出补助</t>
    </r>
  </si>
  <si>
    <t>2110506</t>
  </si>
  <si>
    <r>
      <t xml:space="preserve">      </t>
    </r>
    <r>
      <rPr>
        <sz val="10"/>
        <rFont val="宋体"/>
        <charset val="134"/>
      </rPr>
      <t>天然林保护工程建设</t>
    </r>
  </si>
  <si>
    <t>2110507</t>
  </si>
  <si>
    <r>
      <t xml:space="preserve">      </t>
    </r>
    <r>
      <rPr>
        <sz val="10"/>
        <rFont val="宋体"/>
        <charset val="134"/>
      </rPr>
      <t>停伐补助</t>
    </r>
  </si>
  <si>
    <t>2110599</t>
  </si>
  <si>
    <r>
      <t xml:space="preserve">      </t>
    </r>
    <r>
      <rPr>
        <sz val="10"/>
        <rFont val="宋体"/>
        <charset val="134"/>
      </rPr>
      <t>其他森林保护修复支出</t>
    </r>
  </si>
  <si>
    <r>
      <t xml:space="preserve">    </t>
    </r>
    <r>
      <rPr>
        <b/>
        <sz val="10"/>
        <rFont val="宋体"/>
        <charset val="134"/>
      </rPr>
      <t>风沙荒漠治理</t>
    </r>
  </si>
  <si>
    <t>2110704</t>
  </si>
  <si>
    <r>
      <t xml:space="preserve">      </t>
    </r>
    <r>
      <rPr>
        <sz val="10"/>
        <rFont val="宋体"/>
        <charset val="134"/>
      </rPr>
      <t>京津风沙源治理工程建设</t>
    </r>
  </si>
  <si>
    <t>2110799</t>
  </si>
  <si>
    <r>
      <t xml:space="preserve">      </t>
    </r>
    <r>
      <rPr>
        <sz val="10"/>
        <rFont val="宋体"/>
        <charset val="134"/>
      </rPr>
      <t>其他风沙荒漠治理支出</t>
    </r>
  </si>
  <si>
    <t>21108</t>
  </si>
  <si>
    <r>
      <t xml:space="preserve">    </t>
    </r>
    <r>
      <rPr>
        <b/>
        <sz val="10"/>
        <rFont val="宋体"/>
        <charset val="134"/>
      </rPr>
      <t>退牧还草</t>
    </r>
  </si>
  <si>
    <t>2110804</t>
  </si>
  <si>
    <r>
      <t xml:space="preserve">      </t>
    </r>
    <r>
      <rPr>
        <sz val="10"/>
        <rFont val="宋体"/>
        <charset val="134"/>
      </rPr>
      <t>退牧还草工程建设</t>
    </r>
  </si>
  <si>
    <t>2110899</t>
  </si>
  <si>
    <r>
      <t xml:space="preserve">      </t>
    </r>
    <r>
      <rPr>
        <sz val="10"/>
        <rFont val="宋体"/>
        <charset val="134"/>
      </rPr>
      <t>其他退牧还草支出</t>
    </r>
  </si>
  <si>
    <r>
      <t xml:space="preserve">    </t>
    </r>
    <r>
      <rPr>
        <b/>
        <sz val="10"/>
        <rFont val="宋体"/>
        <charset val="134"/>
      </rPr>
      <t>已垦草原退耕还草</t>
    </r>
  </si>
  <si>
    <t>2110901</t>
  </si>
  <si>
    <r>
      <t xml:space="preserve">      </t>
    </r>
    <r>
      <rPr>
        <sz val="10"/>
        <rFont val="宋体"/>
        <charset val="134"/>
      </rPr>
      <t>已垦草原退耕还草</t>
    </r>
  </si>
  <si>
    <r>
      <t xml:space="preserve">    </t>
    </r>
    <r>
      <rPr>
        <b/>
        <sz val="10"/>
        <rFont val="宋体"/>
        <charset val="134"/>
      </rPr>
      <t>能源节约利用</t>
    </r>
  </si>
  <si>
    <t>2111001</t>
  </si>
  <si>
    <r>
      <t xml:space="preserve">      </t>
    </r>
    <r>
      <rPr>
        <sz val="10"/>
        <rFont val="宋体"/>
        <charset val="134"/>
      </rPr>
      <t>能源节约利用</t>
    </r>
  </si>
  <si>
    <r>
      <t xml:space="preserve">    </t>
    </r>
    <r>
      <rPr>
        <b/>
        <sz val="10"/>
        <rFont val="宋体"/>
        <charset val="134"/>
      </rPr>
      <t>污染减排</t>
    </r>
  </si>
  <si>
    <t>2111101</t>
  </si>
  <si>
    <r>
      <t xml:space="preserve">      </t>
    </r>
    <r>
      <rPr>
        <sz val="10"/>
        <rFont val="宋体"/>
        <charset val="134"/>
      </rPr>
      <t>生态环境监测与信息</t>
    </r>
  </si>
  <si>
    <t>2111102</t>
  </si>
  <si>
    <r>
      <t xml:space="preserve">      </t>
    </r>
    <r>
      <rPr>
        <sz val="10"/>
        <rFont val="宋体"/>
        <charset val="134"/>
      </rPr>
      <t>生态环境执法监察</t>
    </r>
  </si>
  <si>
    <t>2111103</t>
  </si>
  <si>
    <r>
      <t xml:space="preserve">      </t>
    </r>
    <r>
      <rPr>
        <sz val="10"/>
        <rFont val="宋体"/>
        <charset val="134"/>
      </rPr>
      <t>减排专项支出</t>
    </r>
  </si>
  <si>
    <t>2111104</t>
  </si>
  <si>
    <r>
      <t xml:space="preserve">      </t>
    </r>
    <r>
      <rPr>
        <sz val="10"/>
        <rFont val="宋体"/>
        <charset val="134"/>
      </rPr>
      <t>清洁生产专项支出</t>
    </r>
  </si>
  <si>
    <t>2111199</t>
  </si>
  <si>
    <r>
      <t xml:space="preserve">      </t>
    </r>
    <r>
      <rPr>
        <sz val="10"/>
        <rFont val="宋体"/>
        <charset val="134"/>
      </rPr>
      <t>其他污染减排支出</t>
    </r>
  </si>
  <si>
    <r>
      <t xml:space="preserve">    </t>
    </r>
    <r>
      <rPr>
        <b/>
        <sz val="10"/>
        <rFont val="宋体"/>
        <charset val="134"/>
      </rPr>
      <t>清洁能源</t>
    </r>
  </si>
  <si>
    <t>2111201</t>
  </si>
  <si>
    <r>
      <t xml:space="preserve">      </t>
    </r>
    <r>
      <rPr>
        <sz val="10"/>
        <rFont val="宋体"/>
        <charset val="134"/>
      </rPr>
      <t>可再生能源</t>
    </r>
  </si>
  <si>
    <t>2111299</t>
  </si>
  <si>
    <r>
      <t xml:space="preserve">      </t>
    </r>
    <r>
      <rPr>
        <sz val="10"/>
        <rFont val="宋体"/>
        <charset val="134"/>
      </rPr>
      <t>其他清洁能源支出</t>
    </r>
  </si>
  <si>
    <r>
      <t xml:space="preserve">    </t>
    </r>
    <r>
      <rPr>
        <b/>
        <sz val="10"/>
        <rFont val="宋体"/>
        <charset val="134"/>
      </rPr>
      <t>循环经济</t>
    </r>
  </si>
  <si>
    <t>2111301</t>
  </si>
  <si>
    <r>
      <t xml:space="preserve">      </t>
    </r>
    <r>
      <rPr>
        <sz val="10"/>
        <rFont val="宋体"/>
        <charset val="134"/>
      </rPr>
      <t>循环经济</t>
    </r>
  </si>
  <si>
    <r>
      <t xml:space="preserve">    </t>
    </r>
    <r>
      <rPr>
        <b/>
        <sz val="10"/>
        <rFont val="宋体"/>
        <charset val="134"/>
      </rPr>
      <t>能源管理事务</t>
    </r>
  </si>
  <si>
    <t>2111401</t>
  </si>
  <si>
    <t>2111402</t>
  </si>
  <si>
    <t>2111403</t>
  </si>
  <si>
    <t>2111406</t>
  </si>
  <si>
    <r>
      <t xml:space="preserve">      </t>
    </r>
    <r>
      <rPr>
        <sz val="10"/>
        <rFont val="宋体"/>
        <charset val="134"/>
      </rPr>
      <t>能源科技装备</t>
    </r>
  </si>
  <si>
    <t>2111407</t>
  </si>
  <si>
    <r>
      <t xml:space="preserve">      </t>
    </r>
    <r>
      <rPr>
        <sz val="10"/>
        <rFont val="宋体"/>
        <charset val="134"/>
      </rPr>
      <t>能源行业管理</t>
    </r>
  </si>
  <si>
    <t>2111408</t>
  </si>
  <si>
    <r>
      <t xml:space="preserve">      </t>
    </r>
    <r>
      <rPr>
        <sz val="10"/>
        <rFont val="宋体"/>
        <charset val="134"/>
      </rPr>
      <t>能源管理</t>
    </r>
  </si>
  <si>
    <t>2111411</t>
  </si>
  <si>
    <t>2111413</t>
  </si>
  <si>
    <r>
      <t xml:space="preserve">      </t>
    </r>
    <r>
      <rPr>
        <sz val="10"/>
        <rFont val="宋体"/>
        <charset val="134"/>
      </rPr>
      <t>农村电网建设</t>
    </r>
  </si>
  <si>
    <t>2111450</t>
  </si>
  <si>
    <t>2111499</t>
  </si>
  <si>
    <r>
      <t xml:space="preserve">      </t>
    </r>
    <r>
      <rPr>
        <sz val="10"/>
        <rFont val="宋体"/>
        <charset val="134"/>
      </rPr>
      <t>其他能源管理事务支出</t>
    </r>
  </si>
  <si>
    <r>
      <t xml:space="preserve">    </t>
    </r>
    <r>
      <rPr>
        <b/>
        <sz val="10"/>
        <rFont val="宋体"/>
        <charset val="134"/>
      </rPr>
      <t>其他节能环保支出</t>
    </r>
  </si>
  <si>
    <t>2119999</t>
  </si>
  <si>
    <r>
      <t xml:space="preserve">      </t>
    </r>
    <r>
      <rPr>
        <sz val="10"/>
        <rFont val="宋体"/>
        <charset val="134"/>
      </rPr>
      <t>其他节能环保支出</t>
    </r>
  </si>
  <si>
    <r>
      <t xml:space="preserve">    </t>
    </r>
    <r>
      <rPr>
        <b/>
        <sz val="10"/>
        <rFont val="宋体"/>
        <charset val="134"/>
      </rPr>
      <t>城乡社区管理事务</t>
    </r>
  </si>
  <si>
    <t>2120101</t>
  </si>
  <si>
    <t>2120102</t>
  </si>
  <si>
    <t>2120103</t>
  </si>
  <si>
    <t>2120104</t>
  </si>
  <si>
    <r>
      <t xml:space="preserve">      </t>
    </r>
    <r>
      <rPr>
        <sz val="10"/>
        <rFont val="宋体"/>
        <charset val="134"/>
      </rPr>
      <t>城管执法</t>
    </r>
  </si>
  <si>
    <t>2120105</t>
  </si>
  <si>
    <r>
      <t xml:space="preserve">      </t>
    </r>
    <r>
      <rPr>
        <sz val="10"/>
        <rFont val="宋体"/>
        <charset val="134"/>
      </rPr>
      <t>工程建设标准规范编制与监管</t>
    </r>
  </si>
  <si>
    <t>2120106</t>
  </si>
  <si>
    <r>
      <t xml:space="preserve">      </t>
    </r>
    <r>
      <rPr>
        <sz val="10"/>
        <rFont val="宋体"/>
        <charset val="134"/>
      </rPr>
      <t>工程建设管理</t>
    </r>
  </si>
  <si>
    <t>2120107</t>
  </si>
  <si>
    <r>
      <t xml:space="preserve">      </t>
    </r>
    <r>
      <rPr>
        <sz val="10"/>
        <rFont val="宋体"/>
        <charset val="134"/>
      </rPr>
      <t>市政公用行业市场监管</t>
    </r>
  </si>
  <si>
    <t>2120109</t>
  </si>
  <si>
    <r>
      <t xml:space="preserve">      </t>
    </r>
    <r>
      <rPr>
        <sz val="10"/>
        <rFont val="宋体"/>
        <charset val="134"/>
      </rPr>
      <t>住宅建设与房地产市场监管</t>
    </r>
  </si>
  <si>
    <t>2120110</t>
  </si>
  <si>
    <r>
      <t xml:space="preserve">      </t>
    </r>
    <r>
      <rPr>
        <sz val="10"/>
        <rFont val="宋体"/>
        <charset val="134"/>
      </rPr>
      <t>执业资格注册、资质审查</t>
    </r>
  </si>
  <si>
    <t>2120199</t>
  </si>
  <si>
    <r>
      <t xml:space="preserve">      </t>
    </r>
    <r>
      <rPr>
        <sz val="10"/>
        <rFont val="宋体"/>
        <charset val="134"/>
      </rPr>
      <t>其他城乡社区管理事务支出</t>
    </r>
  </si>
  <si>
    <r>
      <t xml:space="preserve">    </t>
    </r>
    <r>
      <rPr>
        <b/>
        <sz val="10"/>
        <rFont val="宋体"/>
        <charset val="134"/>
      </rPr>
      <t>城乡社区规划与管理</t>
    </r>
  </si>
  <si>
    <t>2120201</t>
  </si>
  <si>
    <r>
      <t xml:space="preserve">    </t>
    </r>
    <r>
      <rPr>
        <b/>
        <sz val="10"/>
        <rFont val="宋体"/>
        <charset val="134"/>
      </rPr>
      <t>城乡社区公共设施</t>
    </r>
  </si>
  <si>
    <t>2120303</t>
  </si>
  <si>
    <r>
      <t xml:space="preserve">      </t>
    </r>
    <r>
      <rPr>
        <sz val="10"/>
        <rFont val="宋体"/>
        <charset val="134"/>
      </rPr>
      <t>小城镇基础设施建设</t>
    </r>
  </si>
  <si>
    <t>2120399</t>
  </si>
  <si>
    <r>
      <t xml:space="preserve">      </t>
    </r>
    <r>
      <rPr>
        <sz val="10"/>
        <rFont val="宋体"/>
        <charset val="134"/>
      </rPr>
      <t>其他城乡社区公共设施支出</t>
    </r>
  </si>
  <si>
    <r>
      <t xml:space="preserve">    </t>
    </r>
    <r>
      <rPr>
        <b/>
        <sz val="10"/>
        <rFont val="宋体"/>
        <charset val="134"/>
      </rPr>
      <t>城乡社区环境卫生</t>
    </r>
  </si>
  <si>
    <t>2120501</t>
  </si>
  <si>
    <r>
      <t xml:space="preserve">    </t>
    </r>
    <r>
      <rPr>
        <b/>
        <sz val="10"/>
        <rFont val="宋体"/>
        <charset val="134"/>
      </rPr>
      <t>建设市场管理与监督</t>
    </r>
  </si>
  <si>
    <t>2120601</t>
  </si>
  <si>
    <r>
      <t xml:space="preserve">    </t>
    </r>
    <r>
      <rPr>
        <b/>
        <sz val="10"/>
        <rFont val="宋体"/>
        <charset val="134"/>
      </rPr>
      <t>其他城乡社区支出</t>
    </r>
  </si>
  <si>
    <t>2129999</t>
  </si>
  <si>
    <r>
      <t xml:space="preserve">    </t>
    </r>
    <r>
      <rPr>
        <b/>
        <sz val="10"/>
        <rFont val="宋体"/>
        <charset val="134"/>
      </rPr>
      <t>农业农村</t>
    </r>
  </si>
  <si>
    <t>2130101</t>
  </si>
  <si>
    <t>2130102</t>
  </si>
  <si>
    <t>2130103</t>
  </si>
  <si>
    <t>2130104</t>
  </si>
  <si>
    <t>2130105</t>
  </si>
  <si>
    <r>
      <t xml:space="preserve">      </t>
    </r>
    <r>
      <rPr>
        <sz val="10"/>
        <rFont val="宋体"/>
        <charset val="134"/>
      </rPr>
      <t>农垦运行</t>
    </r>
  </si>
  <si>
    <t>2130106</t>
  </si>
  <si>
    <r>
      <t xml:space="preserve">      </t>
    </r>
    <r>
      <rPr>
        <sz val="10"/>
        <rFont val="宋体"/>
        <charset val="134"/>
      </rPr>
      <t>科技转化与推广服务</t>
    </r>
  </si>
  <si>
    <t>2130108</t>
  </si>
  <si>
    <r>
      <t xml:space="preserve">      </t>
    </r>
    <r>
      <rPr>
        <sz val="10"/>
        <rFont val="宋体"/>
        <charset val="134"/>
      </rPr>
      <t>病虫害控制</t>
    </r>
  </si>
  <si>
    <t>2130109</t>
  </si>
  <si>
    <r>
      <t xml:space="preserve">      </t>
    </r>
    <r>
      <rPr>
        <sz val="10"/>
        <rFont val="宋体"/>
        <charset val="134"/>
      </rPr>
      <t>农产品质量安全</t>
    </r>
  </si>
  <si>
    <t>2130110</t>
  </si>
  <si>
    <r>
      <t xml:space="preserve">      </t>
    </r>
    <r>
      <rPr>
        <sz val="10"/>
        <rFont val="宋体"/>
        <charset val="134"/>
      </rPr>
      <t>执法监管</t>
    </r>
  </si>
  <si>
    <t>2130111</t>
  </si>
  <si>
    <r>
      <t xml:space="preserve">      </t>
    </r>
    <r>
      <rPr>
        <sz val="10"/>
        <rFont val="宋体"/>
        <charset val="134"/>
      </rPr>
      <t>统计监测与信息服务</t>
    </r>
  </si>
  <si>
    <t>2130112</t>
  </si>
  <si>
    <r>
      <t xml:space="preserve">      </t>
    </r>
    <r>
      <rPr>
        <sz val="10"/>
        <rFont val="宋体"/>
        <charset val="134"/>
      </rPr>
      <t>农业行业业务管理</t>
    </r>
  </si>
  <si>
    <t>2130114</t>
  </si>
  <si>
    <r>
      <t xml:space="preserve">      </t>
    </r>
    <r>
      <rPr>
        <sz val="10"/>
        <rFont val="宋体"/>
        <charset val="134"/>
      </rPr>
      <t>对外交流与合作</t>
    </r>
  </si>
  <si>
    <t>2130119</t>
  </si>
  <si>
    <r>
      <t xml:space="preserve">      </t>
    </r>
    <r>
      <rPr>
        <sz val="10"/>
        <rFont val="宋体"/>
        <charset val="134"/>
      </rPr>
      <t>防灾救灾</t>
    </r>
  </si>
  <si>
    <t>2130120</t>
  </si>
  <si>
    <r>
      <t xml:space="preserve">      </t>
    </r>
    <r>
      <rPr>
        <sz val="10"/>
        <rFont val="宋体"/>
        <charset val="134"/>
      </rPr>
      <t>稳定农民收入补贴</t>
    </r>
  </si>
  <si>
    <t>2130121</t>
  </si>
  <si>
    <r>
      <t xml:space="preserve">      </t>
    </r>
    <r>
      <rPr>
        <sz val="10"/>
        <rFont val="宋体"/>
        <charset val="134"/>
      </rPr>
      <t>农业结构调整补贴</t>
    </r>
  </si>
  <si>
    <t>2130122</t>
  </si>
  <si>
    <r>
      <t xml:space="preserve">      </t>
    </r>
    <r>
      <rPr>
        <sz val="10"/>
        <rFont val="宋体"/>
        <charset val="134"/>
      </rPr>
      <t>农业生产发展</t>
    </r>
  </si>
  <si>
    <t>2130124</t>
  </si>
  <si>
    <r>
      <t xml:space="preserve">      </t>
    </r>
    <r>
      <rPr>
        <sz val="10"/>
        <rFont val="宋体"/>
        <charset val="134"/>
      </rPr>
      <t>农村合作经济</t>
    </r>
  </si>
  <si>
    <t>2130125</t>
  </si>
  <si>
    <r>
      <t xml:space="preserve">      </t>
    </r>
    <r>
      <rPr>
        <sz val="10"/>
        <rFont val="宋体"/>
        <charset val="134"/>
      </rPr>
      <t>农产品加工与促销</t>
    </r>
  </si>
  <si>
    <t>2130126</t>
  </si>
  <si>
    <r>
      <t xml:space="preserve">      </t>
    </r>
    <r>
      <rPr>
        <sz val="10"/>
        <rFont val="宋体"/>
        <charset val="134"/>
      </rPr>
      <t>农村社会事业</t>
    </r>
  </si>
  <si>
    <t>2130135</t>
  </si>
  <si>
    <r>
      <t xml:space="preserve">      </t>
    </r>
    <r>
      <rPr>
        <sz val="10"/>
        <rFont val="宋体"/>
        <charset val="134"/>
      </rPr>
      <t>农业生态资源保护</t>
    </r>
  </si>
  <si>
    <t>2130142</t>
  </si>
  <si>
    <r>
      <t xml:space="preserve">      </t>
    </r>
    <r>
      <rPr>
        <sz val="10"/>
        <rFont val="宋体"/>
        <charset val="134"/>
      </rPr>
      <t>农村道路建设</t>
    </r>
  </si>
  <si>
    <t>2130148</t>
  </si>
  <si>
    <r>
      <t xml:space="preserve">      </t>
    </r>
    <r>
      <rPr>
        <sz val="10"/>
        <rFont val="宋体"/>
        <charset val="134"/>
      </rPr>
      <t>渔业发展</t>
    </r>
  </si>
  <si>
    <t>2130152</t>
  </si>
  <si>
    <r>
      <t xml:space="preserve">      </t>
    </r>
    <r>
      <rPr>
        <sz val="10"/>
        <rFont val="宋体"/>
        <charset val="134"/>
      </rPr>
      <t>对高校毕业生到基层任职补助</t>
    </r>
  </si>
  <si>
    <t>2130153</t>
  </si>
  <si>
    <r>
      <t xml:space="preserve">      </t>
    </r>
    <r>
      <rPr>
        <sz val="10"/>
        <rFont val="宋体"/>
        <charset val="134"/>
      </rPr>
      <t>耕地建设与利用</t>
    </r>
  </si>
  <si>
    <t>2130199</t>
  </si>
  <si>
    <r>
      <t xml:space="preserve">      </t>
    </r>
    <r>
      <rPr>
        <sz val="10"/>
        <rFont val="宋体"/>
        <charset val="134"/>
      </rPr>
      <t>其他农业支出</t>
    </r>
  </si>
  <si>
    <r>
      <t xml:space="preserve">    </t>
    </r>
    <r>
      <rPr>
        <b/>
        <sz val="10"/>
        <rFont val="宋体"/>
        <charset val="134"/>
      </rPr>
      <t>林业和草原</t>
    </r>
  </si>
  <si>
    <t>2130201</t>
  </si>
  <si>
    <t>2130202</t>
  </si>
  <si>
    <t>2130203</t>
  </si>
  <si>
    <t>2130204</t>
  </si>
  <si>
    <r>
      <t xml:space="preserve">      </t>
    </r>
    <r>
      <rPr>
        <sz val="10"/>
        <rFont val="宋体"/>
        <charset val="134"/>
      </rPr>
      <t>事业机构</t>
    </r>
  </si>
  <si>
    <t>2130205</t>
  </si>
  <si>
    <r>
      <t xml:space="preserve">      </t>
    </r>
    <r>
      <rPr>
        <sz val="10"/>
        <rFont val="宋体"/>
        <charset val="134"/>
      </rPr>
      <t>森林资源培育</t>
    </r>
  </si>
  <si>
    <t>2130206</t>
  </si>
  <si>
    <r>
      <t xml:space="preserve">      </t>
    </r>
    <r>
      <rPr>
        <sz val="10"/>
        <rFont val="宋体"/>
        <charset val="134"/>
      </rPr>
      <t>技术推广与转化</t>
    </r>
  </si>
  <si>
    <t>2130207</t>
  </si>
  <si>
    <r>
      <t xml:space="preserve">      </t>
    </r>
    <r>
      <rPr>
        <sz val="10"/>
        <rFont val="宋体"/>
        <charset val="134"/>
      </rPr>
      <t>森林资源管理</t>
    </r>
  </si>
  <si>
    <t>2130209</t>
  </si>
  <si>
    <r>
      <t xml:space="preserve">      </t>
    </r>
    <r>
      <rPr>
        <sz val="10"/>
        <rFont val="宋体"/>
        <charset val="134"/>
      </rPr>
      <t>森林生态效益补偿</t>
    </r>
  </si>
  <si>
    <t>2130211</t>
  </si>
  <si>
    <r>
      <t xml:space="preserve">      </t>
    </r>
    <r>
      <rPr>
        <sz val="10"/>
        <rFont val="宋体"/>
        <charset val="134"/>
      </rPr>
      <t>动植物保护</t>
    </r>
  </si>
  <si>
    <t>2130212</t>
  </si>
  <si>
    <r>
      <t xml:space="preserve">      </t>
    </r>
    <r>
      <rPr>
        <sz val="10"/>
        <rFont val="宋体"/>
        <charset val="134"/>
      </rPr>
      <t>湿地保护</t>
    </r>
  </si>
  <si>
    <t>2130213</t>
  </si>
  <si>
    <r>
      <t xml:space="preserve">      </t>
    </r>
    <r>
      <rPr>
        <sz val="10"/>
        <rFont val="宋体"/>
        <charset val="134"/>
      </rPr>
      <t>执法与监督</t>
    </r>
  </si>
  <si>
    <t>2130217</t>
  </si>
  <si>
    <r>
      <t xml:space="preserve">      </t>
    </r>
    <r>
      <rPr>
        <sz val="10"/>
        <rFont val="宋体"/>
        <charset val="134"/>
      </rPr>
      <t>防沙治沙</t>
    </r>
  </si>
  <si>
    <t>2130220</t>
  </si>
  <si>
    <r>
      <t xml:space="preserve">      </t>
    </r>
    <r>
      <rPr>
        <sz val="10"/>
        <rFont val="宋体"/>
        <charset val="134"/>
      </rPr>
      <t>对外合作与交流</t>
    </r>
  </si>
  <si>
    <t>2130221</t>
  </si>
  <si>
    <r>
      <t xml:space="preserve">      </t>
    </r>
    <r>
      <rPr>
        <sz val="10"/>
        <rFont val="宋体"/>
        <charset val="134"/>
      </rPr>
      <t>产业化管理</t>
    </r>
  </si>
  <si>
    <t>2130223</t>
  </si>
  <si>
    <r>
      <t xml:space="preserve">      </t>
    </r>
    <r>
      <rPr>
        <sz val="10"/>
        <rFont val="宋体"/>
        <charset val="134"/>
      </rPr>
      <t>信息管理</t>
    </r>
  </si>
  <si>
    <t>2130226</t>
  </si>
  <si>
    <r>
      <t xml:space="preserve">      </t>
    </r>
    <r>
      <rPr>
        <sz val="10"/>
        <rFont val="宋体"/>
        <charset val="134"/>
      </rPr>
      <t>林区公共支出</t>
    </r>
  </si>
  <si>
    <t>2130227</t>
  </si>
  <si>
    <r>
      <t xml:space="preserve">      </t>
    </r>
    <r>
      <rPr>
        <sz val="10"/>
        <rFont val="宋体"/>
        <charset val="134"/>
      </rPr>
      <t>贷款贴息</t>
    </r>
  </si>
  <si>
    <t>2130234</t>
  </si>
  <si>
    <r>
      <t xml:space="preserve">      </t>
    </r>
    <r>
      <rPr>
        <sz val="10"/>
        <rFont val="宋体"/>
        <charset val="134"/>
      </rPr>
      <t>林业草原防灾减灾</t>
    </r>
  </si>
  <si>
    <t>2130236</t>
  </si>
  <si>
    <r>
      <t xml:space="preserve">      </t>
    </r>
    <r>
      <rPr>
        <sz val="10"/>
        <rFont val="宋体"/>
        <charset val="134"/>
      </rPr>
      <t>草原管理</t>
    </r>
  </si>
  <si>
    <t>2130237</t>
  </si>
  <si>
    <r>
      <t xml:space="preserve">      </t>
    </r>
    <r>
      <rPr>
        <sz val="10"/>
        <rFont val="宋体"/>
        <charset val="134"/>
      </rPr>
      <t>行业业务管理</t>
    </r>
  </si>
  <si>
    <t>2130238</t>
  </si>
  <si>
    <r>
      <t xml:space="preserve">      </t>
    </r>
    <r>
      <rPr>
        <sz val="10"/>
        <rFont val="宋体"/>
        <charset val="134"/>
      </rPr>
      <t>退耕还林还草</t>
    </r>
  </si>
  <si>
    <t>2130299</t>
  </si>
  <si>
    <r>
      <t xml:space="preserve">      </t>
    </r>
    <r>
      <rPr>
        <sz val="10"/>
        <rFont val="宋体"/>
        <charset val="134"/>
      </rPr>
      <t>其他林业和草原支出</t>
    </r>
  </si>
  <si>
    <r>
      <t xml:space="preserve">    </t>
    </r>
    <r>
      <rPr>
        <b/>
        <sz val="10"/>
        <rFont val="宋体"/>
        <charset val="134"/>
      </rPr>
      <t>水利</t>
    </r>
  </si>
  <si>
    <t>2130301</t>
  </si>
  <si>
    <t>2130302</t>
  </si>
  <si>
    <t>2130303</t>
  </si>
  <si>
    <t>2130304</t>
  </si>
  <si>
    <r>
      <t xml:space="preserve">      </t>
    </r>
    <r>
      <rPr>
        <sz val="10"/>
        <rFont val="宋体"/>
        <charset val="134"/>
      </rPr>
      <t>水利行业业务管理</t>
    </r>
  </si>
  <si>
    <t>2130305</t>
  </si>
  <si>
    <r>
      <t xml:space="preserve">      </t>
    </r>
    <r>
      <rPr>
        <sz val="10"/>
        <rFont val="宋体"/>
        <charset val="134"/>
      </rPr>
      <t>水利工程建设</t>
    </r>
  </si>
  <si>
    <t>2130306</t>
  </si>
  <si>
    <r>
      <t xml:space="preserve">      </t>
    </r>
    <r>
      <rPr>
        <sz val="10"/>
        <rFont val="宋体"/>
        <charset val="134"/>
      </rPr>
      <t>水利工程运行与维护</t>
    </r>
  </si>
  <si>
    <t>2130307</t>
  </si>
  <si>
    <r>
      <t xml:space="preserve">      </t>
    </r>
    <r>
      <rPr>
        <sz val="10"/>
        <rFont val="宋体"/>
        <charset val="134"/>
      </rPr>
      <t>长江黄河等流域管理</t>
    </r>
  </si>
  <si>
    <t>2130308</t>
  </si>
  <si>
    <r>
      <t xml:space="preserve">      </t>
    </r>
    <r>
      <rPr>
        <sz val="10"/>
        <rFont val="宋体"/>
        <charset val="134"/>
      </rPr>
      <t>水利前期工作</t>
    </r>
  </si>
  <si>
    <t>2130309</t>
  </si>
  <si>
    <r>
      <t xml:space="preserve">      </t>
    </r>
    <r>
      <rPr>
        <sz val="10"/>
        <rFont val="宋体"/>
        <charset val="134"/>
      </rPr>
      <t>水利执法监督</t>
    </r>
  </si>
  <si>
    <t>2130310</t>
  </si>
  <si>
    <r>
      <t xml:space="preserve">      </t>
    </r>
    <r>
      <rPr>
        <sz val="10"/>
        <rFont val="宋体"/>
        <charset val="134"/>
      </rPr>
      <t>水土保持</t>
    </r>
  </si>
  <si>
    <t>2130311</t>
  </si>
  <si>
    <r>
      <t xml:space="preserve">      </t>
    </r>
    <r>
      <rPr>
        <sz val="10"/>
        <rFont val="宋体"/>
        <charset val="134"/>
      </rPr>
      <t>水资源节约管理与保护</t>
    </r>
  </si>
  <si>
    <t>2130312</t>
  </si>
  <si>
    <r>
      <t xml:space="preserve">      </t>
    </r>
    <r>
      <rPr>
        <sz val="10"/>
        <rFont val="宋体"/>
        <charset val="134"/>
      </rPr>
      <t>水质监测</t>
    </r>
  </si>
  <si>
    <t>2130313</t>
  </si>
  <si>
    <r>
      <t xml:space="preserve">      </t>
    </r>
    <r>
      <rPr>
        <sz val="10"/>
        <rFont val="宋体"/>
        <charset val="134"/>
      </rPr>
      <t>水文测报</t>
    </r>
  </si>
  <si>
    <t>2130314</t>
  </si>
  <si>
    <r>
      <t xml:space="preserve">      </t>
    </r>
    <r>
      <rPr>
        <sz val="10"/>
        <rFont val="宋体"/>
        <charset val="134"/>
      </rPr>
      <t>防汛</t>
    </r>
  </si>
  <si>
    <t>2130315</t>
  </si>
  <si>
    <r>
      <t xml:space="preserve">      </t>
    </r>
    <r>
      <rPr>
        <sz val="10"/>
        <rFont val="宋体"/>
        <charset val="134"/>
      </rPr>
      <t>抗旱</t>
    </r>
  </si>
  <si>
    <t>2130316</t>
  </si>
  <si>
    <r>
      <t xml:space="preserve">      </t>
    </r>
    <r>
      <rPr>
        <sz val="10"/>
        <rFont val="宋体"/>
        <charset val="134"/>
      </rPr>
      <t>农村水利</t>
    </r>
  </si>
  <si>
    <t>2130317</t>
  </si>
  <si>
    <r>
      <t xml:space="preserve">      </t>
    </r>
    <r>
      <rPr>
        <sz val="10"/>
        <rFont val="宋体"/>
        <charset val="134"/>
      </rPr>
      <t>水利技术推广</t>
    </r>
  </si>
  <si>
    <t>2130318</t>
  </si>
  <si>
    <r>
      <t xml:space="preserve">      </t>
    </r>
    <r>
      <rPr>
        <sz val="10"/>
        <rFont val="宋体"/>
        <charset val="134"/>
      </rPr>
      <t>国际河流治理与管理</t>
    </r>
  </si>
  <si>
    <t>2130319</t>
  </si>
  <si>
    <r>
      <t xml:space="preserve">      </t>
    </r>
    <r>
      <rPr>
        <sz val="10"/>
        <rFont val="宋体"/>
        <charset val="134"/>
      </rPr>
      <t>江河湖库水系综合整治</t>
    </r>
  </si>
  <si>
    <t>2130321</t>
  </si>
  <si>
    <r>
      <t xml:space="preserve">      </t>
    </r>
    <r>
      <rPr>
        <sz val="10"/>
        <rFont val="宋体"/>
        <charset val="134"/>
      </rPr>
      <t>大中型水库移民后期扶持专项支出</t>
    </r>
  </si>
  <si>
    <t>2130322</t>
  </si>
  <si>
    <r>
      <t xml:space="preserve">      </t>
    </r>
    <r>
      <rPr>
        <sz val="10"/>
        <rFont val="宋体"/>
        <charset val="134"/>
      </rPr>
      <t>水利安全监督</t>
    </r>
  </si>
  <si>
    <t>2130333</t>
  </si>
  <si>
    <t>2130334</t>
  </si>
  <si>
    <r>
      <t xml:space="preserve">      </t>
    </r>
    <r>
      <rPr>
        <sz val="10"/>
        <rFont val="宋体"/>
        <charset val="134"/>
      </rPr>
      <t>水利建设征地及移民支出</t>
    </r>
  </si>
  <si>
    <t>2130335</t>
  </si>
  <si>
    <r>
      <t xml:space="preserve">      </t>
    </r>
    <r>
      <rPr>
        <sz val="10"/>
        <rFont val="宋体"/>
        <charset val="134"/>
      </rPr>
      <t>农村供水</t>
    </r>
  </si>
  <si>
    <t>2130336</t>
  </si>
  <si>
    <r>
      <t xml:space="preserve">      </t>
    </r>
    <r>
      <rPr>
        <sz val="10"/>
        <rFont val="宋体"/>
        <charset val="134"/>
      </rPr>
      <t>南水北调工程建设</t>
    </r>
  </si>
  <si>
    <t>2130337</t>
  </si>
  <si>
    <r>
      <t xml:space="preserve">      </t>
    </r>
    <r>
      <rPr>
        <sz val="10"/>
        <rFont val="宋体"/>
        <charset val="134"/>
      </rPr>
      <t>南水北调工程管理</t>
    </r>
  </si>
  <si>
    <t>2130399</t>
  </si>
  <si>
    <r>
      <t xml:space="preserve">      </t>
    </r>
    <r>
      <rPr>
        <sz val="10"/>
        <rFont val="宋体"/>
        <charset val="134"/>
      </rPr>
      <t>其他水利支出</t>
    </r>
  </si>
  <si>
    <r>
      <t xml:space="preserve">    </t>
    </r>
    <r>
      <rPr>
        <b/>
        <sz val="10"/>
        <rFont val="宋体"/>
        <charset val="134"/>
      </rPr>
      <t>巩固脱贫攻坚成果衔接乡村振兴</t>
    </r>
  </si>
  <si>
    <t>2130504</t>
  </si>
  <si>
    <r>
      <t xml:space="preserve">      </t>
    </r>
    <r>
      <rPr>
        <sz val="10"/>
        <rFont val="宋体"/>
        <charset val="134"/>
      </rPr>
      <t>农村基础设施建设</t>
    </r>
  </si>
  <si>
    <t>机构职能调整，删除科目，相关支出转列农业
农村21301款相应项级科目</t>
  </si>
  <si>
    <t>2130505</t>
  </si>
  <si>
    <r>
      <t xml:space="preserve">      </t>
    </r>
    <r>
      <rPr>
        <sz val="10"/>
        <rFont val="宋体"/>
        <charset val="134"/>
      </rPr>
      <t>生产发展</t>
    </r>
  </si>
  <si>
    <t>2130506</t>
  </si>
  <si>
    <r>
      <t xml:space="preserve">      </t>
    </r>
    <r>
      <rPr>
        <sz val="10"/>
        <rFont val="宋体"/>
        <charset val="134"/>
      </rPr>
      <t>社会发展</t>
    </r>
  </si>
  <si>
    <t>2130507</t>
  </si>
  <si>
    <r>
      <t xml:space="preserve">      </t>
    </r>
    <r>
      <rPr>
        <sz val="10"/>
        <rFont val="宋体"/>
        <charset val="134"/>
      </rPr>
      <t>贷款奖补和贴息</t>
    </r>
  </si>
  <si>
    <t>2130508</t>
  </si>
  <si>
    <r>
      <t xml:space="preserve">       “</t>
    </r>
    <r>
      <rPr>
        <sz val="10"/>
        <rFont val="宋体"/>
        <charset val="134"/>
      </rPr>
      <t>三西</t>
    </r>
    <r>
      <rPr>
        <sz val="10"/>
        <rFont val="Times New Roman"/>
        <family val="1"/>
        <charset val="0"/>
      </rPr>
      <t>”</t>
    </r>
    <r>
      <rPr>
        <sz val="10"/>
        <rFont val="宋体"/>
        <charset val="134"/>
      </rPr>
      <t>农业建设专项补助</t>
    </r>
  </si>
  <si>
    <t>2130599</t>
  </si>
  <si>
    <r>
      <t xml:space="preserve">      </t>
    </r>
    <r>
      <rPr>
        <sz val="10"/>
        <rFont val="宋体"/>
        <charset val="134"/>
      </rPr>
      <t>其他巩固脱贫攻坚成果衔接乡村振兴支出</t>
    </r>
  </si>
  <si>
    <r>
      <t xml:space="preserve">    </t>
    </r>
    <r>
      <rPr>
        <b/>
        <sz val="10"/>
        <rFont val="宋体"/>
        <charset val="134"/>
      </rPr>
      <t>农村综合改革</t>
    </r>
  </si>
  <si>
    <t>2130701</t>
  </si>
  <si>
    <r>
      <t xml:space="preserve">      </t>
    </r>
    <r>
      <rPr>
        <sz val="10"/>
        <rFont val="宋体"/>
        <charset val="134"/>
      </rPr>
      <t>对村级公益事业建设的补助</t>
    </r>
  </si>
  <si>
    <t>2130705</t>
  </si>
  <si>
    <r>
      <t xml:space="preserve">      </t>
    </r>
    <r>
      <rPr>
        <sz val="10"/>
        <rFont val="宋体"/>
        <charset val="134"/>
      </rPr>
      <t>对村民委员会和村党支部的补助</t>
    </r>
  </si>
  <si>
    <t>2130706</t>
  </si>
  <si>
    <r>
      <t xml:space="preserve">      </t>
    </r>
    <r>
      <rPr>
        <sz val="10"/>
        <rFont val="宋体"/>
        <charset val="134"/>
      </rPr>
      <t>对村集体经济组织的补助</t>
    </r>
  </si>
  <si>
    <t>2130707</t>
  </si>
  <si>
    <r>
      <t xml:space="preserve">      </t>
    </r>
    <r>
      <rPr>
        <sz val="10"/>
        <rFont val="宋体"/>
        <charset val="134"/>
      </rPr>
      <t>农村综合改革示范试点补助</t>
    </r>
  </si>
  <si>
    <t>2130799</t>
  </si>
  <si>
    <r>
      <t xml:space="preserve">      </t>
    </r>
    <r>
      <rPr>
        <sz val="10"/>
        <rFont val="宋体"/>
        <charset val="134"/>
      </rPr>
      <t>其他农村综合改革支出</t>
    </r>
  </si>
  <si>
    <r>
      <t xml:space="preserve">    </t>
    </r>
    <r>
      <rPr>
        <b/>
        <sz val="10"/>
        <rFont val="宋体"/>
        <charset val="134"/>
      </rPr>
      <t>普惠金融发展支出</t>
    </r>
  </si>
  <si>
    <t>2130801</t>
  </si>
  <si>
    <r>
      <t xml:space="preserve">      </t>
    </r>
    <r>
      <rPr>
        <sz val="10"/>
        <rFont val="宋体"/>
        <charset val="134"/>
      </rPr>
      <t>支持农村金融机构</t>
    </r>
  </si>
  <si>
    <t>2130803</t>
  </si>
  <si>
    <r>
      <t xml:space="preserve">      </t>
    </r>
    <r>
      <rPr>
        <sz val="10"/>
        <rFont val="宋体"/>
        <charset val="134"/>
      </rPr>
      <t>农业保险保费补贴</t>
    </r>
  </si>
  <si>
    <t>2130804</t>
  </si>
  <si>
    <r>
      <t xml:space="preserve">      </t>
    </r>
    <r>
      <rPr>
        <sz val="10"/>
        <rFont val="宋体"/>
        <charset val="134"/>
      </rPr>
      <t>创业担保贷款贴息及奖补</t>
    </r>
  </si>
  <si>
    <t>2130805</t>
  </si>
  <si>
    <r>
      <t xml:space="preserve">      </t>
    </r>
    <r>
      <rPr>
        <sz val="10"/>
        <rFont val="宋体"/>
        <charset val="134"/>
      </rPr>
      <t>补充创业担保贷款基金</t>
    </r>
  </si>
  <si>
    <t>2130899</t>
  </si>
  <si>
    <r>
      <t xml:space="preserve">      </t>
    </r>
    <r>
      <rPr>
        <sz val="10"/>
        <rFont val="宋体"/>
        <charset val="134"/>
      </rPr>
      <t>其他普惠金融发展支出</t>
    </r>
  </si>
  <si>
    <r>
      <t xml:space="preserve">    </t>
    </r>
    <r>
      <rPr>
        <b/>
        <sz val="10"/>
        <rFont val="宋体"/>
        <charset val="134"/>
      </rPr>
      <t>目标价格补贴</t>
    </r>
  </si>
  <si>
    <t>2130901</t>
  </si>
  <si>
    <r>
      <t xml:space="preserve">      </t>
    </r>
    <r>
      <rPr>
        <sz val="10"/>
        <rFont val="宋体"/>
        <charset val="134"/>
      </rPr>
      <t>棉花目标价格补贴</t>
    </r>
  </si>
  <si>
    <t>2130999</t>
  </si>
  <si>
    <r>
      <t xml:space="preserve">      </t>
    </r>
    <r>
      <rPr>
        <sz val="10"/>
        <rFont val="宋体"/>
        <charset val="134"/>
      </rPr>
      <t>其他目标价格补贴</t>
    </r>
  </si>
  <si>
    <r>
      <t xml:space="preserve">    </t>
    </r>
    <r>
      <rPr>
        <b/>
        <sz val="10"/>
        <rFont val="宋体"/>
        <charset val="134"/>
      </rPr>
      <t>其他农林水支出</t>
    </r>
  </si>
  <si>
    <t>2139901</t>
  </si>
  <si>
    <r>
      <t xml:space="preserve">      </t>
    </r>
    <r>
      <rPr>
        <sz val="10"/>
        <rFont val="宋体"/>
        <charset val="134"/>
      </rPr>
      <t>化解其他公益性乡村债务支出</t>
    </r>
  </si>
  <si>
    <t>2139999</t>
  </si>
  <si>
    <r>
      <t xml:space="preserve">    </t>
    </r>
    <r>
      <rPr>
        <b/>
        <sz val="10"/>
        <rFont val="宋体"/>
        <charset val="134"/>
      </rPr>
      <t>公路水路运输</t>
    </r>
  </si>
  <si>
    <t>2140101</t>
  </si>
  <si>
    <t>2140102</t>
  </si>
  <si>
    <t>2140103</t>
  </si>
  <si>
    <t>2140104</t>
  </si>
  <si>
    <r>
      <t xml:space="preserve">      </t>
    </r>
    <r>
      <rPr>
        <sz val="10"/>
        <rFont val="宋体"/>
        <charset val="134"/>
      </rPr>
      <t>公路建设</t>
    </r>
  </si>
  <si>
    <t>2140106</t>
  </si>
  <si>
    <r>
      <t xml:space="preserve">      </t>
    </r>
    <r>
      <rPr>
        <sz val="10"/>
        <rFont val="宋体"/>
        <charset val="134"/>
      </rPr>
      <t>公路养护</t>
    </r>
  </si>
  <si>
    <t>2140109</t>
  </si>
  <si>
    <r>
      <t xml:space="preserve">      </t>
    </r>
    <r>
      <rPr>
        <sz val="10"/>
        <rFont val="宋体"/>
        <charset val="134"/>
      </rPr>
      <t>交通运输信息化建设</t>
    </r>
  </si>
  <si>
    <t>2140110</t>
  </si>
  <si>
    <r>
      <t xml:space="preserve">      </t>
    </r>
    <r>
      <rPr>
        <sz val="10"/>
        <rFont val="宋体"/>
        <charset val="134"/>
      </rPr>
      <t>公路和运输安全</t>
    </r>
  </si>
  <si>
    <t>2140112</t>
  </si>
  <si>
    <r>
      <t xml:space="preserve">      </t>
    </r>
    <r>
      <rPr>
        <sz val="10"/>
        <rFont val="宋体"/>
        <charset val="134"/>
      </rPr>
      <t>公路运输管理</t>
    </r>
  </si>
  <si>
    <t>2140114</t>
  </si>
  <si>
    <r>
      <t xml:space="preserve">      </t>
    </r>
    <r>
      <rPr>
        <sz val="10"/>
        <rFont val="宋体"/>
        <charset val="134"/>
      </rPr>
      <t>公路和运输技术标准化建设</t>
    </r>
  </si>
  <si>
    <t>2140122</t>
  </si>
  <si>
    <r>
      <t xml:space="preserve">      </t>
    </r>
    <r>
      <rPr>
        <sz val="10"/>
        <rFont val="宋体"/>
        <charset val="134"/>
      </rPr>
      <t>水运建设</t>
    </r>
  </si>
  <si>
    <t>2140123</t>
  </si>
  <si>
    <r>
      <t xml:space="preserve">      </t>
    </r>
    <r>
      <rPr>
        <sz val="10"/>
        <rFont val="宋体"/>
        <charset val="134"/>
      </rPr>
      <t>航道维护</t>
    </r>
  </si>
  <si>
    <t>2140127</t>
  </si>
  <si>
    <r>
      <t xml:space="preserve">      </t>
    </r>
    <r>
      <rPr>
        <sz val="10"/>
        <rFont val="宋体"/>
        <charset val="134"/>
      </rPr>
      <t>船舶检验</t>
    </r>
  </si>
  <si>
    <t>2140128</t>
  </si>
  <si>
    <r>
      <t xml:space="preserve">      </t>
    </r>
    <r>
      <rPr>
        <sz val="10"/>
        <rFont val="宋体"/>
        <charset val="134"/>
      </rPr>
      <t>救助打捞</t>
    </r>
  </si>
  <si>
    <t>2140129</t>
  </si>
  <si>
    <r>
      <t xml:space="preserve">      </t>
    </r>
    <r>
      <rPr>
        <sz val="10"/>
        <rFont val="宋体"/>
        <charset val="134"/>
      </rPr>
      <t>内河运输</t>
    </r>
  </si>
  <si>
    <t>2140130</t>
  </si>
  <si>
    <r>
      <t xml:space="preserve">      </t>
    </r>
    <r>
      <rPr>
        <sz val="10"/>
        <rFont val="宋体"/>
        <charset val="134"/>
      </rPr>
      <t>远洋运输</t>
    </r>
  </si>
  <si>
    <t>2140131</t>
  </si>
  <si>
    <r>
      <t xml:space="preserve">      </t>
    </r>
    <r>
      <rPr>
        <sz val="10"/>
        <rFont val="宋体"/>
        <charset val="134"/>
      </rPr>
      <t>海事管理</t>
    </r>
  </si>
  <si>
    <t>2140133</t>
  </si>
  <si>
    <r>
      <t xml:space="preserve">      </t>
    </r>
    <r>
      <rPr>
        <sz val="10"/>
        <rFont val="宋体"/>
        <charset val="134"/>
      </rPr>
      <t>航标事业发展支出</t>
    </r>
  </si>
  <si>
    <t>2140136</t>
  </si>
  <si>
    <r>
      <t xml:space="preserve">      </t>
    </r>
    <r>
      <rPr>
        <sz val="10"/>
        <rFont val="宋体"/>
        <charset val="134"/>
      </rPr>
      <t>水路运输管理支出</t>
    </r>
  </si>
  <si>
    <t>2140138</t>
  </si>
  <si>
    <r>
      <t xml:space="preserve">      </t>
    </r>
    <r>
      <rPr>
        <sz val="10"/>
        <rFont val="宋体"/>
        <charset val="134"/>
      </rPr>
      <t>口岸建设</t>
    </r>
  </si>
  <si>
    <t>2140199</t>
  </si>
  <si>
    <r>
      <t xml:space="preserve">      </t>
    </r>
    <r>
      <rPr>
        <sz val="10"/>
        <rFont val="宋体"/>
        <charset val="134"/>
      </rPr>
      <t>其他公路水路运输支出</t>
    </r>
  </si>
  <si>
    <r>
      <t xml:space="preserve">    </t>
    </r>
    <r>
      <rPr>
        <b/>
        <sz val="10"/>
        <rFont val="宋体"/>
        <charset val="134"/>
      </rPr>
      <t>铁路运输</t>
    </r>
  </si>
  <si>
    <t>2140201</t>
  </si>
  <si>
    <t>2140202</t>
  </si>
  <si>
    <t>2140203</t>
  </si>
  <si>
    <t>2140204</t>
  </si>
  <si>
    <r>
      <t xml:space="preserve">      </t>
    </r>
    <r>
      <rPr>
        <sz val="10"/>
        <rFont val="宋体"/>
        <charset val="134"/>
      </rPr>
      <t>铁路路网建设</t>
    </r>
  </si>
  <si>
    <t>2140205</t>
  </si>
  <si>
    <r>
      <t xml:space="preserve">      </t>
    </r>
    <r>
      <rPr>
        <sz val="10"/>
        <rFont val="宋体"/>
        <charset val="134"/>
      </rPr>
      <t>铁路还贷专项</t>
    </r>
  </si>
  <si>
    <t>2140206</t>
  </si>
  <si>
    <r>
      <t xml:space="preserve">      </t>
    </r>
    <r>
      <rPr>
        <sz val="10"/>
        <rFont val="宋体"/>
        <charset val="134"/>
      </rPr>
      <t>铁路安全</t>
    </r>
  </si>
  <si>
    <t>2140207</t>
  </si>
  <si>
    <r>
      <t xml:space="preserve">      </t>
    </r>
    <r>
      <rPr>
        <sz val="10"/>
        <rFont val="宋体"/>
        <charset val="134"/>
      </rPr>
      <t>铁路专项运输</t>
    </r>
  </si>
  <si>
    <t>2140208</t>
  </si>
  <si>
    <r>
      <t xml:space="preserve">      </t>
    </r>
    <r>
      <rPr>
        <sz val="10"/>
        <rFont val="宋体"/>
        <charset val="134"/>
      </rPr>
      <t>行业监管</t>
    </r>
  </si>
  <si>
    <t>2140299</t>
  </si>
  <si>
    <r>
      <t xml:space="preserve">      </t>
    </r>
    <r>
      <rPr>
        <sz val="10"/>
        <rFont val="宋体"/>
        <charset val="134"/>
      </rPr>
      <t>其他铁路运输支出</t>
    </r>
  </si>
  <si>
    <r>
      <t xml:space="preserve">    </t>
    </r>
    <r>
      <rPr>
        <b/>
        <sz val="10"/>
        <rFont val="宋体"/>
        <charset val="134"/>
      </rPr>
      <t>民用航空运输</t>
    </r>
  </si>
  <si>
    <t>2140301</t>
  </si>
  <si>
    <t>2140302</t>
  </si>
  <si>
    <t>2140303</t>
  </si>
  <si>
    <t>2140304</t>
  </si>
  <si>
    <r>
      <t xml:space="preserve">      </t>
    </r>
    <r>
      <rPr>
        <sz val="10"/>
        <rFont val="宋体"/>
        <charset val="134"/>
      </rPr>
      <t>机场建设</t>
    </r>
  </si>
  <si>
    <t>2140305</t>
  </si>
  <si>
    <r>
      <t xml:space="preserve">      </t>
    </r>
    <r>
      <rPr>
        <sz val="10"/>
        <rFont val="宋体"/>
        <charset val="134"/>
      </rPr>
      <t>空管系统建设</t>
    </r>
  </si>
  <si>
    <t>2140306</t>
  </si>
  <si>
    <r>
      <t xml:space="preserve">      </t>
    </r>
    <r>
      <rPr>
        <sz val="10"/>
        <rFont val="宋体"/>
        <charset val="134"/>
      </rPr>
      <t>民航还贷专项支出</t>
    </r>
  </si>
  <si>
    <t>2140307</t>
  </si>
  <si>
    <r>
      <t xml:space="preserve">      </t>
    </r>
    <r>
      <rPr>
        <sz val="10"/>
        <rFont val="宋体"/>
        <charset val="134"/>
      </rPr>
      <t>民用航空安全</t>
    </r>
  </si>
  <si>
    <t>2140308</t>
  </si>
  <si>
    <r>
      <t xml:space="preserve">      </t>
    </r>
    <r>
      <rPr>
        <sz val="10"/>
        <rFont val="宋体"/>
        <charset val="134"/>
      </rPr>
      <t>民航专项运输</t>
    </r>
  </si>
  <si>
    <t>2140399</t>
  </si>
  <si>
    <r>
      <t xml:space="preserve">      </t>
    </r>
    <r>
      <rPr>
        <sz val="10"/>
        <rFont val="宋体"/>
        <charset val="134"/>
      </rPr>
      <t>其他民用航空运输支出</t>
    </r>
  </si>
  <si>
    <t>21405</t>
  </si>
  <si>
    <r>
      <t xml:space="preserve">    </t>
    </r>
    <r>
      <rPr>
        <b/>
        <sz val="10"/>
        <rFont val="宋体"/>
        <charset val="134"/>
      </rPr>
      <t>邮政业支出</t>
    </r>
  </si>
  <si>
    <t>2140501</t>
  </si>
  <si>
    <t>2140502</t>
  </si>
  <si>
    <t>2140503</t>
  </si>
  <si>
    <t>2140504</t>
  </si>
  <si>
    <t>2140505</t>
  </si>
  <si>
    <r>
      <t xml:space="preserve">      </t>
    </r>
    <r>
      <rPr>
        <sz val="10"/>
        <rFont val="宋体"/>
        <charset val="134"/>
      </rPr>
      <t>邮政普遍服务与特殊服务</t>
    </r>
  </si>
  <si>
    <t>2140599</t>
  </si>
  <si>
    <r>
      <t xml:space="preserve">      </t>
    </r>
    <r>
      <rPr>
        <sz val="10"/>
        <rFont val="宋体"/>
        <charset val="134"/>
      </rPr>
      <t>其他邮政业支出</t>
    </r>
  </si>
  <si>
    <r>
      <t xml:space="preserve">    </t>
    </r>
    <r>
      <rPr>
        <b/>
        <sz val="10"/>
        <rFont val="宋体"/>
        <charset val="134"/>
      </rPr>
      <t>其他交通运输支出</t>
    </r>
  </si>
  <si>
    <t>2149901</t>
  </si>
  <si>
    <r>
      <t xml:space="preserve">      </t>
    </r>
    <r>
      <rPr>
        <sz val="10"/>
        <rFont val="宋体"/>
        <charset val="134"/>
      </rPr>
      <t>公共交通运营补助</t>
    </r>
  </si>
  <si>
    <t>2149999</t>
  </si>
  <si>
    <r>
      <t xml:space="preserve">    </t>
    </r>
    <r>
      <rPr>
        <b/>
        <sz val="10"/>
        <rFont val="宋体"/>
        <charset val="134"/>
      </rPr>
      <t>资源勘探开发</t>
    </r>
  </si>
  <si>
    <t>2150101</t>
  </si>
  <si>
    <t>2150102</t>
  </si>
  <si>
    <t>2150103</t>
  </si>
  <si>
    <t>2150104</t>
  </si>
  <si>
    <r>
      <t xml:space="preserve">      </t>
    </r>
    <r>
      <rPr>
        <sz val="10"/>
        <rFont val="宋体"/>
        <charset val="134"/>
      </rPr>
      <t>煤炭勘探开采和洗选</t>
    </r>
  </si>
  <si>
    <t>2150105</t>
  </si>
  <si>
    <r>
      <t xml:space="preserve">      </t>
    </r>
    <r>
      <rPr>
        <sz val="10"/>
        <rFont val="宋体"/>
        <charset val="134"/>
      </rPr>
      <t>石油和天然气勘探开采</t>
    </r>
  </si>
  <si>
    <t>2150106</t>
  </si>
  <si>
    <r>
      <t xml:space="preserve">      </t>
    </r>
    <r>
      <rPr>
        <sz val="10"/>
        <rFont val="宋体"/>
        <charset val="134"/>
      </rPr>
      <t>黑色金属矿勘探和采选</t>
    </r>
  </si>
  <si>
    <t>2150107</t>
  </si>
  <si>
    <r>
      <t xml:space="preserve">      </t>
    </r>
    <r>
      <rPr>
        <sz val="10"/>
        <rFont val="宋体"/>
        <charset val="134"/>
      </rPr>
      <t>有色金属矿勘探和采选</t>
    </r>
  </si>
  <si>
    <t>2150108</t>
  </si>
  <si>
    <r>
      <t xml:space="preserve">      </t>
    </r>
    <r>
      <rPr>
        <sz val="10"/>
        <rFont val="宋体"/>
        <charset val="134"/>
      </rPr>
      <t>非金属矿勘探和采选</t>
    </r>
  </si>
  <si>
    <t>2150199</t>
  </si>
  <si>
    <r>
      <t xml:space="preserve">      </t>
    </r>
    <r>
      <rPr>
        <sz val="10"/>
        <rFont val="宋体"/>
        <charset val="134"/>
      </rPr>
      <t>其他资源勘探业支出</t>
    </r>
  </si>
  <si>
    <r>
      <t xml:space="preserve">    </t>
    </r>
    <r>
      <rPr>
        <b/>
        <sz val="10"/>
        <rFont val="宋体"/>
        <charset val="134"/>
      </rPr>
      <t>制造业</t>
    </r>
  </si>
  <si>
    <t>2150201</t>
  </si>
  <si>
    <t>2150202</t>
  </si>
  <si>
    <t>2150203</t>
  </si>
  <si>
    <t>2150204</t>
  </si>
  <si>
    <r>
      <t xml:space="preserve">      </t>
    </r>
    <r>
      <rPr>
        <sz val="10"/>
        <rFont val="宋体"/>
        <charset val="134"/>
      </rPr>
      <t>纺织业</t>
    </r>
  </si>
  <si>
    <t>2150205</t>
  </si>
  <si>
    <r>
      <t xml:space="preserve">      </t>
    </r>
    <r>
      <rPr>
        <sz val="10"/>
        <rFont val="宋体"/>
        <charset val="134"/>
      </rPr>
      <t>医药制造业</t>
    </r>
  </si>
  <si>
    <t>2150206</t>
  </si>
  <si>
    <r>
      <t xml:space="preserve">      </t>
    </r>
    <r>
      <rPr>
        <sz val="10"/>
        <rFont val="宋体"/>
        <charset val="134"/>
      </rPr>
      <t>非金属矿物制品业</t>
    </r>
  </si>
  <si>
    <t>2150207</t>
  </si>
  <si>
    <r>
      <t xml:space="preserve">      </t>
    </r>
    <r>
      <rPr>
        <sz val="10"/>
        <rFont val="宋体"/>
        <charset val="134"/>
      </rPr>
      <t>通信设备、计算机及其他电子设备制造业</t>
    </r>
  </si>
  <si>
    <t>2150208</t>
  </si>
  <si>
    <r>
      <t xml:space="preserve">      </t>
    </r>
    <r>
      <rPr>
        <sz val="10"/>
        <rFont val="宋体"/>
        <charset val="134"/>
      </rPr>
      <t>交通运输设备制造业</t>
    </r>
  </si>
  <si>
    <t>2150209</t>
  </si>
  <si>
    <r>
      <t xml:space="preserve">      </t>
    </r>
    <r>
      <rPr>
        <sz val="10"/>
        <rFont val="宋体"/>
        <charset val="134"/>
      </rPr>
      <t>电气机械及器材制造业</t>
    </r>
  </si>
  <si>
    <t>2150210</t>
  </si>
  <si>
    <r>
      <t xml:space="preserve">      </t>
    </r>
    <r>
      <rPr>
        <sz val="10"/>
        <rFont val="宋体"/>
        <charset val="134"/>
      </rPr>
      <t>工艺品及其他制造业</t>
    </r>
  </si>
  <si>
    <t>2150212</t>
  </si>
  <si>
    <r>
      <t xml:space="preserve">      </t>
    </r>
    <r>
      <rPr>
        <sz val="10"/>
        <rFont val="宋体"/>
        <charset val="134"/>
      </rPr>
      <t>石油加工、炼焦及核燃料加工业</t>
    </r>
  </si>
  <si>
    <t>2150213</t>
  </si>
  <si>
    <r>
      <t xml:space="preserve">      </t>
    </r>
    <r>
      <rPr>
        <sz val="10"/>
        <rFont val="宋体"/>
        <charset val="134"/>
      </rPr>
      <t>化学原料及化学制品制造业</t>
    </r>
  </si>
  <si>
    <t>2150214</t>
  </si>
  <si>
    <r>
      <t xml:space="preserve">      </t>
    </r>
    <r>
      <rPr>
        <sz val="10"/>
        <rFont val="宋体"/>
        <charset val="134"/>
      </rPr>
      <t>黑色金属冶炼及压延加工业</t>
    </r>
  </si>
  <si>
    <t>2150215</t>
  </si>
  <si>
    <r>
      <t xml:space="preserve">      </t>
    </r>
    <r>
      <rPr>
        <sz val="10"/>
        <rFont val="宋体"/>
        <charset val="134"/>
      </rPr>
      <t>有色金属冶炼及压延加工业</t>
    </r>
  </si>
  <si>
    <t>2150299</t>
  </si>
  <si>
    <r>
      <t xml:space="preserve">      </t>
    </r>
    <r>
      <rPr>
        <sz val="10"/>
        <rFont val="宋体"/>
        <charset val="134"/>
      </rPr>
      <t>其他制造业支出</t>
    </r>
  </si>
  <si>
    <r>
      <t xml:space="preserve">    </t>
    </r>
    <r>
      <rPr>
        <b/>
        <sz val="10"/>
        <rFont val="宋体"/>
        <charset val="134"/>
      </rPr>
      <t>建筑业</t>
    </r>
  </si>
  <si>
    <t>2150301</t>
  </si>
  <si>
    <t>2150302</t>
  </si>
  <si>
    <t>2150303</t>
  </si>
  <si>
    <t>2150399</t>
  </si>
  <si>
    <r>
      <t xml:space="preserve">      </t>
    </r>
    <r>
      <rPr>
        <sz val="10"/>
        <rFont val="宋体"/>
        <charset val="134"/>
      </rPr>
      <t>其他建筑业支出</t>
    </r>
  </si>
  <si>
    <r>
      <t xml:space="preserve">    </t>
    </r>
    <r>
      <rPr>
        <b/>
        <sz val="10"/>
        <rFont val="宋体"/>
        <charset val="134"/>
      </rPr>
      <t>工业和信息产业监管</t>
    </r>
  </si>
  <si>
    <t>2150501</t>
  </si>
  <si>
    <t>2150502</t>
  </si>
  <si>
    <t>2150503</t>
  </si>
  <si>
    <t>2150505</t>
  </si>
  <si>
    <r>
      <t xml:space="preserve">      </t>
    </r>
    <r>
      <rPr>
        <sz val="10"/>
        <rFont val="宋体"/>
        <charset val="134"/>
      </rPr>
      <t>战备应急</t>
    </r>
  </si>
  <si>
    <t>2150507</t>
  </si>
  <si>
    <r>
      <t xml:space="preserve">      </t>
    </r>
    <r>
      <rPr>
        <sz val="10"/>
        <rFont val="宋体"/>
        <charset val="134"/>
      </rPr>
      <t>专用通信</t>
    </r>
  </si>
  <si>
    <t>2150508</t>
  </si>
  <si>
    <r>
      <t xml:space="preserve">      </t>
    </r>
    <r>
      <rPr>
        <sz val="10"/>
        <rFont val="宋体"/>
        <charset val="134"/>
      </rPr>
      <t>无线电及信息通信监管</t>
    </r>
  </si>
  <si>
    <t>2150516</t>
  </si>
  <si>
    <r>
      <t xml:space="preserve">      </t>
    </r>
    <r>
      <rPr>
        <sz val="10"/>
        <rFont val="宋体"/>
        <charset val="134"/>
      </rPr>
      <t>工程建设及运行维护</t>
    </r>
  </si>
  <si>
    <t>2150517</t>
  </si>
  <si>
    <r>
      <t xml:space="preserve">      </t>
    </r>
    <r>
      <rPr>
        <sz val="10"/>
        <rFont val="宋体"/>
        <charset val="134"/>
      </rPr>
      <t>产业发展</t>
    </r>
  </si>
  <si>
    <t>2150550</t>
  </si>
  <si>
    <t>2150599</t>
  </si>
  <si>
    <r>
      <t xml:space="preserve">      </t>
    </r>
    <r>
      <rPr>
        <sz val="10"/>
        <rFont val="宋体"/>
        <charset val="134"/>
      </rPr>
      <t>其他工业和信息产业监管支出</t>
    </r>
  </si>
  <si>
    <r>
      <t xml:space="preserve">    </t>
    </r>
    <r>
      <rPr>
        <b/>
        <sz val="10"/>
        <rFont val="宋体"/>
        <charset val="134"/>
      </rPr>
      <t>国有资产监管</t>
    </r>
  </si>
  <si>
    <t>2150701</t>
  </si>
  <si>
    <t>2150702</t>
  </si>
  <si>
    <t>2150703</t>
  </si>
  <si>
    <t>2150704</t>
  </si>
  <si>
    <r>
      <t xml:space="preserve">      </t>
    </r>
    <r>
      <rPr>
        <sz val="10"/>
        <rFont val="宋体"/>
        <charset val="134"/>
      </rPr>
      <t>国有企业监事会专项</t>
    </r>
  </si>
  <si>
    <t>2150705</t>
  </si>
  <si>
    <r>
      <t xml:space="preserve">      </t>
    </r>
    <r>
      <rPr>
        <sz val="10"/>
        <rFont val="宋体"/>
        <charset val="134"/>
      </rPr>
      <t>中央企业专项管理</t>
    </r>
  </si>
  <si>
    <t>2150799</t>
  </si>
  <si>
    <r>
      <t xml:space="preserve">      </t>
    </r>
    <r>
      <rPr>
        <sz val="10"/>
        <rFont val="宋体"/>
        <charset val="134"/>
      </rPr>
      <t>其他国有资产监管支出</t>
    </r>
  </si>
  <si>
    <r>
      <t xml:space="preserve">    </t>
    </r>
    <r>
      <rPr>
        <b/>
        <sz val="10"/>
        <rFont val="宋体"/>
        <charset val="134"/>
      </rPr>
      <t>支持中小企业发展和管理支出</t>
    </r>
  </si>
  <si>
    <t>2150801</t>
  </si>
  <si>
    <t>2150802</t>
  </si>
  <si>
    <t>2150803</t>
  </si>
  <si>
    <t>2150804</t>
  </si>
  <si>
    <r>
      <t xml:space="preserve">      </t>
    </r>
    <r>
      <rPr>
        <sz val="10"/>
        <rFont val="宋体"/>
        <charset val="134"/>
      </rPr>
      <t>科技型中小企业技术创新基金</t>
    </r>
  </si>
  <si>
    <t>2150805</t>
  </si>
  <si>
    <r>
      <t xml:space="preserve">      </t>
    </r>
    <r>
      <rPr>
        <sz val="10"/>
        <rFont val="宋体"/>
        <charset val="134"/>
      </rPr>
      <t>中小企业发展专项</t>
    </r>
  </si>
  <si>
    <t>2150806</t>
  </si>
  <si>
    <r>
      <t xml:space="preserve">      </t>
    </r>
    <r>
      <rPr>
        <sz val="10"/>
        <rFont val="宋体"/>
        <charset val="134"/>
      </rPr>
      <t>减免房租补贴</t>
    </r>
  </si>
  <si>
    <t>2150899</t>
  </si>
  <si>
    <r>
      <t xml:space="preserve">      </t>
    </r>
    <r>
      <rPr>
        <sz val="10"/>
        <rFont val="宋体"/>
        <charset val="134"/>
      </rPr>
      <t>其他支持中小企业发展和管理支出</t>
    </r>
  </si>
  <si>
    <r>
      <t xml:space="preserve">    </t>
    </r>
    <r>
      <rPr>
        <b/>
        <sz val="10"/>
        <rFont val="宋体"/>
        <charset val="134"/>
      </rPr>
      <t>其他资源勘探信息等支出</t>
    </r>
  </si>
  <si>
    <t>2159901</t>
  </si>
  <si>
    <r>
      <t xml:space="preserve">      </t>
    </r>
    <r>
      <rPr>
        <sz val="10"/>
        <rFont val="宋体"/>
        <charset val="134"/>
      </rPr>
      <t>黄金事务</t>
    </r>
  </si>
  <si>
    <t>2159904</t>
  </si>
  <si>
    <r>
      <t xml:space="preserve">      </t>
    </r>
    <r>
      <rPr>
        <sz val="10"/>
        <rFont val="宋体"/>
        <charset val="134"/>
      </rPr>
      <t>技术改造支出</t>
    </r>
  </si>
  <si>
    <t>2159905</t>
  </si>
  <si>
    <r>
      <t xml:space="preserve">      </t>
    </r>
    <r>
      <rPr>
        <sz val="10"/>
        <rFont val="宋体"/>
        <charset val="134"/>
      </rPr>
      <t>中药材扶持资金支出</t>
    </r>
  </si>
  <si>
    <t>2159906</t>
  </si>
  <si>
    <r>
      <t xml:space="preserve">      </t>
    </r>
    <r>
      <rPr>
        <sz val="10"/>
        <rFont val="宋体"/>
        <charset val="134"/>
      </rPr>
      <t>重点产业振兴和技术改造项目贷款贴息</t>
    </r>
  </si>
  <si>
    <t>2159999</t>
  </si>
  <si>
    <r>
      <t xml:space="preserve">    </t>
    </r>
    <r>
      <rPr>
        <b/>
        <sz val="10"/>
        <rFont val="宋体"/>
        <charset val="134"/>
      </rPr>
      <t>商业流通事务</t>
    </r>
  </si>
  <si>
    <t>2160201</t>
  </si>
  <si>
    <t>2160202</t>
  </si>
  <si>
    <t>2160203</t>
  </si>
  <si>
    <t>2160216</t>
  </si>
  <si>
    <r>
      <t xml:space="preserve">      </t>
    </r>
    <r>
      <rPr>
        <sz val="10"/>
        <rFont val="宋体"/>
        <charset val="134"/>
      </rPr>
      <t>食品流通安全补贴</t>
    </r>
  </si>
  <si>
    <t>2160217</t>
  </si>
  <si>
    <r>
      <t xml:space="preserve">      </t>
    </r>
    <r>
      <rPr>
        <sz val="10"/>
        <rFont val="宋体"/>
        <charset val="134"/>
      </rPr>
      <t>市场监测及信息管理</t>
    </r>
  </si>
  <si>
    <t>2160218</t>
  </si>
  <si>
    <r>
      <t xml:space="preserve">      </t>
    </r>
    <r>
      <rPr>
        <sz val="10"/>
        <rFont val="宋体"/>
        <charset val="134"/>
      </rPr>
      <t>民贸企业补贴</t>
    </r>
  </si>
  <si>
    <t>2160219</t>
  </si>
  <si>
    <r>
      <t xml:space="preserve">      </t>
    </r>
    <r>
      <rPr>
        <sz val="10"/>
        <rFont val="宋体"/>
        <charset val="134"/>
      </rPr>
      <t>民贸民品贷款贴息</t>
    </r>
  </si>
  <si>
    <t>2160250</t>
  </si>
  <si>
    <t>2160299</t>
  </si>
  <si>
    <r>
      <t xml:space="preserve">      </t>
    </r>
    <r>
      <rPr>
        <sz val="10"/>
        <rFont val="宋体"/>
        <charset val="134"/>
      </rPr>
      <t>其他商业流通事务支出</t>
    </r>
  </si>
  <si>
    <r>
      <t xml:space="preserve">    </t>
    </r>
    <r>
      <rPr>
        <b/>
        <sz val="10"/>
        <rFont val="宋体"/>
        <charset val="134"/>
      </rPr>
      <t>涉外发展服务支出</t>
    </r>
  </si>
  <si>
    <t>2160601</t>
  </si>
  <si>
    <t>2160602</t>
  </si>
  <si>
    <t>2160603</t>
  </si>
  <si>
    <t>2160607</t>
  </si>
  <si>
    <r>
      <t xml:space="preserve">      </t>
    </r>
    <r>
      <rPr>
        <sz val="10"/>
        <rFont val="宋体"/>
        <charset val="134"/>
      </rPr>
      <t>外商投资环境建设补助资金</t>
    </r>
  </si>
  <si>
    <t>2160699</t>
  </si>
  <si>
    <r>
      <t xml:space="preserve">      </t>
    </r>
    <r>
      <rPr>
        <sz val="10"/>
        <rFont val="宋体"/>
        <charset val="134"/>
      </rPr>
      <t>其他涉外发展服务支出</t>
    </r>
  </si>
  <si>
    <r>
      <t xml:space="preserve">    </t>
    </r>
    <r>
      <rPr>
        <b/>
        <sz val="10"/>
        <rFont val="宋体"/>
        <charset val="134"/>
      </rPr>
      <t>其他商业服务业等支出</t>
    </r>
  </si>
  <si>
    <t>2169901</t>
  </si>
  <si>
    <r>
      <t xml:space="preserve">      </t>
    </r>
    <r>
      <rPr>
        <sz val="10"/>
        <rFont val="宋体"/>
        <charset val="134"/>
      </rPr>
      <t>服务业基础设施建设</t>
    </r>
  </si>
  <si>
    <t>2169999</t>
  </si>
  <si>
    <r>
      <t xml:space="preserve">    </t>
    </r>
    <r>
      <rPr>
        <b/>
        <sz val="10"/>
        <rFont val="宋体"/>
        <charset val="134"/>
      </rPr>
      <t>金融部门行政支出</t>
    </r>
  </si>
  <si>
    <t>2170101</t>
  </si>
  <si>
    <t>2170102</t>
  </si>
  <si>
    <t>2170103</t>
  </si>
  <si>
    <t>2170104</t>
  </si>
  <si>
    <r>
      <t xml:space="preserve">      </t>
    </r>
    <r>
      <rPr>
        <sz val="10"/>
        <rFont val="宋体"/>
        <charset val="134"/>
      </rPr>
      <t>安全防卫</t>
    </r>
  </si>
  <si>
    <t>2170150</t>
  </si>
  <si>
    <t>2170199</t>
  </si>
  <si>
    <r>
      <t xml:space="preserve">      </t>
    </r>
    <r>
      <rPr>
        <sz val="10"/>
        <rFont val="宋体"/>
        <charset val="134"/>
      </rPr>
      <t>金融部门其他行政支出</t>
    </r>
  </si>
  <si>
    <r>
      <t xml:space="preserve">    </t>
    </r>
    <r>
      <rPr>
        <b/>
        <sz val="10"/>
        <rFont val="宋体"/>
        <charset val="134"/>
      </rPr>
      <t>金融部门监管支出</t>
    </r>
  </si>
  <si>
    <t>2170201</t>
  </si>
  <si>
    <r>
      <t xml:space="preserve">      </t>
    </r>
    <r>
      <rPr>
        <sz val="10"/>
        <rFont val="宋体"/>
        <charset val="134"/>
      </rPr>
      <t>货币发行</t>
    </r>
  </si>
  <si>
    <t>2170202</t>
  </si>
  <si>
    <r>
      <t xml:space="preserve">      </t>
    </r>
    <r>
      <rPr>
        <sz val="10"/>
        <rFont val="宋体"/>
        <charset val="134"/>
      </rPr>
      <t>金融服务</t>
    </r>
  </si>
  <si>
    <t>2170203</t>
  </si>
  <si>
    <r>
      <t xml:space="preserve">      </t>
    </r>
    <r>
      <rPr>
        <sz val="10"/>
        <rFont val="宋体"/>
        <charset val="134"/>
      </rPr>
      <t>反假币</t>
    </r>
  </si>
  <si>
    <t>2170204</t>
  </si>
  <si>
    <r>
      <t xml:space="preserve">      </t>
    </r>
    <r>
      <rPr>
        <sz val="10"/>
        <rFont val="宋体"/>
        <charset val="134"/>
      </rPr>
      <t>重点金融机构监管</t>
    </r>
  </si>
  <si>
    <t>2170205</t>
  </si>
  <si>
    <r>
      <t xml:space="preserve">      </t>
    </r>
    <r>
      <rPr>
        <sz val="10"/>
        <rFont val="宋体"/>
        <charset val="134"/>
      </rPr>
      <t>金融稽查与案件处理</t>
    </r>
  </si>
  <si>
    <t>2170206</t>
  </si>
  <si>
    <r>
      <t xml:space="preserve">      </t>
    </r>
    <r>
      <rPr>
        <sz val="10"/>
        <rFont val="宋体"/>
        <charset val="134"/>
      </rPr>
      <t>金融行业电子化建设</t>
    </r>
  </si>
  <si>
    <t>2170207</t>
  </si>
  <si>
    <r>
      <t xml:space="preserve">      </t>
    </r>
    <r>
      <rPr>
        <sz val="10"/>
        <rFont val="宋体"/>
        <charset val="134"/>
      </rPr>
      <t>从业人员资格考试</t>
    </r>
  </si>
  <si>
    <t>2170208</t>
  </si>
  <si>
    <r>
      <t xml:space="preserve">      </t>
    </r>
    <r>
      <rPr>
        <sz val="10"/>
        <rFont val="宋体"/>
        <charset val="134"/>
      </rPr>
      <t>反洗钱</t>
    </r>
  </si>
  <si>
    <t>2170299</t>
  </si>
  <si>
    <r>
      <t xml:space="preserve">      </t>
    </r>
    <r>
      <rPr>
        <sz val="10"/>
        <rFont val="宋体"/>
        <charset val="134"/>
      </rPr>
      <t>金融部门其他监管支出</t>
    </r>
  </si>
  <si>
    <r>
      <t xml:space="preserve">    </t>
    </r>
    <r>
      <rPr>
        <b/>
        <sz val="10"/>
        <rFont val="宋体"/>
        <charset val="134"/>
      </rPr>
      <t>金融发展支出</t>
    </r>
  </si>
  <si>
    <t>2170301</t>
  </si>
  <si>
    <r>
      <t xml:space="preserve">      </t>
    </r>
    <r>
      <rPr>
        <sz val="10"/>
        <rFont val="宋体"/>
        <charset val="134"/>
      </rPr>
      <t>政策性银行亏损补贴</t>
    </r>
  </si>
  <si>
    <t>2170302</t>
  </si>
  <si>
    <r>
      <t xml:space="preserve">      </t>
    </r>
    <r>
      <rPr>
        <sz val="10"/>
        <rFont val="宋体"/>
        <charset val="134"/>
      </rPr>
      <t>利息费用补贴支出</t>
    </r>
  </si>
  <si>
    <t>2170303</t>
  </si>
  <si>
    <r>
      <t xml:space="preserve">      </t>
    </r>
    <r>
      <rPr>
        <sz val="10"/>
        <rFont val="宋体"/>
        <charset val="134"/>
      </rPr>
      <t>补充资本金</t>
    </r>
  </si>
  <si>
    <t>2170304</t>
  </si>
  <si>
    <r>
      <t xml:space="preserve">      </t>
    </r>
    <r>
      <rPr>
        <sz val="10"/>
        <rFont val="宋体"/>
        <charset val="134"/>
      </rPr>
      <t>风险基金补助</t>
    </r>
  </si>
  <si>
    <t>2170399</t>
  </si>
  <si>
    <r>
      <t xml:space="preserve">      </t>
    </r>
    <r>
      <rPr>
        <sz val="10"/>
        <rFont val="宋体"/>
        <charset val="134"/>
      </rPr>
      <t>其他金融发展支出</t>
    </r>
  </si>
  <si>
    <r>
      <t xml:space="preserve">    </t>
    </r>
    <r>
      <rPr>
        <b/>
        <sz val="10"/>
        <rFont val="宋体"/>
        <charset val="134"/>
      </rPr>
      <t>金融调控支出</t>
    </r>
  </si>
  <si>
    <t>2170401</t>
  </si>
  <si>
    <r>
      <t xml:space="preserve">      </t>
    </r>
    <r>
      <rPr>
        <sz val="10"/>
        <rFont val="宋体"/>
        <charset val="134"/>
      </rPr>
      <t>中央银行亏损补贴</t>
    </r>
  </si>
  <si>
    <t>2170499</t>
  </si>
  <si>
    <r>
      <t xml:space="preserve">      </t>
    </r>
    <r>
      <rPr>
        <sz val="10"/>
        <rFont val="宋体"/>
        <charset val="134"/>
      </rPr>
      <t>其他金融调控支出</t>
    </r>
  </si>
  <si>
    <r>
      <t xml:space="preserve">    </t>
    </r>
    <r>
      <rPr>
        <b/>
        <sz val="10"/>
        <rFont val="宋体"/>
        <charset val="134"/>
      </rPr>
      <t>其他金融支出</t>
    </r>
  </si>
  <si>
    <t>2179902</t>
  </si>
  <si>
    <r>
      <t xml:space="preserve">      </t>
    </r>
    <r>
      <rPr>
        <sz val="10"/>
        <rFont val="宋体"/>
        <charset val="134"/>
      </rPr>
      <t>重点企业贷款贴息</t>
    </r>
  </si>
  <si>
    <t>2179999</t>
  </si>
  <si>
    <r>
      <t xml:space="preserve">    </t>
    </r>
    <r>
      <rPr>
        <b/>
        <sz val="10"/>
        <rFont val="宋体"/>
        <charset val="134"/>
      </rPr>
      <t>一般公共服务</t>
    </r>
  </si>
  <si>
    <r>
      <t xml:space="preserve">    </t>
    </r>
    <r>
      <rPr>
        <b/>
        <sz val="10"/>
        <rFont val="宋体"/>
        <charset val="134"/>
      </rPr>
      <t>教育</t>
    </r>
  </si>
  <si>
    <r>
      <t xml:space="preserve">    </t>
    </r>
    <r>
      <rPr>
        <b/>
        <sz val="10"/>
        <rFont val="宋体"/>
        <charset val="134"/>
      </rPr>
      <t>文化体育与传媒</t>
    </r>
  </si>
  <si>
    <r>
      <t xml:space="preserve">    </t>
    </r>
    <r>
      <rPr>
        <b/>
        <sz val="10"/>
        <rFont val="宋体"/>
        <charset val="134"/>
      </rPr>
      <t>医疗卫生</t>
    </r>
  </si>
  <si>
    <r>
      <t xml:space="preserve">    </t>
    </r>
    <r>
      <rPr>
        <b/>
        <sz val="10"/>
        <rFont val="宋体"/>
        <charset val="134"/>
      </rPr>
      <t>节能环保</t>
    </r>
  </si>
  <si>
    <r>
      <t xml:space="preserve">    </t>
    </r>
    <r>
      <rPr>
        <b/>
        <sz val="10"/>
        <rFont val="宋体"/>
        <charset val="134"/>
      </rPr>
      <t>交通运输</t>
    </r>
  </si>
  <si>
    <r>
      <t xml:space="preserve">    </t>
    </r>
    <r>
      <rPr>
        <b/>
        <sz val="10"/>
        <rFont val="宋体"/>
        <charset val="134"/>
      </rPr>
      <t>住房保障</t>
    </r>
  </si>
  <si>
    <r>
      <t xml:space="preserve">    </t>
    </r>
    <r>
      <rPr>
        <b/>
        <sz val="10"/>
        <rFont val="宋体"/>
        <charset val="134"/>
      </rPr>
      <t>其他支出</t>
    </r>
  </si>
  <si>
    <r>
      <t xml:space="preserve">    </t>
    </r>
    <r>
      <rPr>
        <b/>
        <sz val="10"/>
        <rFont val="宋体"/>
        <charset val="134"/>
      </rPr>
      <t>自然资源事务</t>
    </r>
  </si>
  <si>
    <t>2200101</t>
  </si>
  <si>
    <t>2200102</t>
  </si>
  <si>
    <t>2200103</t>
  </si>
  <si>
    <t>2200104</t>
  </si>
  <si>
    <r>
      <t xml:space="preserve">      </t>
    </r>
    <r>
      <rPr>
        <sz val="10"/>
        <rFont val="宋体"/>
        <charset val="134"/>
      </rPr>
      <t>自然资源规划及管理</t>
    </r>
  </si>
  <si>
    <t>2200106</t>
  </si>
  <si>
    <r>
      <t xml:space="preserve">      </t>
    </r>
    <r>
      <rPr>
        <sz val="10"/>
        <rFont val="宋体"/>
        <charset val="134"/>
      </rPr>
      <t>自然资源利用与保护</t>
    </r>
  </si>
  <si>
    <t>2200107</t>
  </si>
  <si>
    <r>
      <t xml:space="preserve">      </t>
    </r>
    <r>
      <rPr>
        <sz val="10"/>
        <rFont val="宋体"/>
        <charset val="134"/>
      </rPr>
      <t>自然资源社会公益服务</t>
    </r>
  </si>
  <si>
    <t>2200108</t>
  </si>
  <si>
    <r>
      <t xml:space="preserve">      </t>
    </r>
    <r>
      <rPr>
        <sz val="10"/>
        <rFont val="宋体"/>
        <charset val="134"/>
      </rPr>
      <t>自然资源行业业务管理</t>
    </r>
  </si>
  <si>
    <t>2200109</t>
  </si>
  <si>
    <r>
      <t xml:space="preserve">      </t>
    </r>
    <r>
      <rPr>
        <sz val="10"/>
        <rFont val="宋体"/>
        <charset val="134"/>
      </rPr>
      <t>自然资源调查与确权登记</t>
    </r>
  </si>
  <si>
    <t>2200112</t>
  </si>
  <si>
    <r>
      <t xml:space="preserve">      </t>
    </r>
    <r>
      <rPr>
        <sz val="10"/>
        <rFont val="宋体"/>
        <charset val="134"/>
      </rPr>
      <t>土地资源储备支出</t>
    </r>
  </si>
  <si>
    <t>2200113</t>
  </si>
  <si>
    <r>
      <t xml:space="preserve">      </t>
    </r>
    <r>
      <rPr>
        <sz val="10"/>
        <rFont val="宋体"/>
        <charset val="134"/>
      </rPr>
      <t>地质矿产资源与环境调查</t>
    </r>
  </si>
  <si>
    <t>2200114</t>
  </si>
  <si>
    <r>
      <t xml:space="preserve">      </t>
    </r>
    <r>
      <rPr>
        <sz val="10"/>
        <rFont val="宋体"/>
        <charset val="134"/>
      </rPr>
      <t>地质勘查与矿产资源管理</t>
    </r>
  </si>
  <si>
    <t>2200115</t>
  </si>
  <si>
    <r>
      <t xml:space="preserve">      </t>
    </r>
    <r>
      <rPr>
        <sz val="10"/>
        <rFont val="宋体"/>
        <charset val="134"/>
      </rPr>
      <t>地质转产项目财政贴息</t>
    </r>
  </si>
  <si>
    <t>2200116</t>
  </si>
  <si>
    <r>
      <t xml:space="preserve">      </t>
    </r>
    <r>
      <rPr>
        <sz val="10"/>
        <rFont val="宋体"/>
        <charset val="134"/>
      </rPr>
      <t>国外风险勘查</t>
    </r>
  </si>
  <si>
    <t>2200119</t>
  </si>
  <si>
    <r>
      <t xml:space="preserve">      </t>
    </r>
    <r>
      <rPr>
        <sz val="10"/>
        <rFont val="宋体"/>
        <charset val="134"/>
      </rPr>
      <t>地质勘查基金（周转金）支出</t>
    </r>
  </si>
  <si>
    <t>2200120</t>
  </si>
  <si>
    <r>
      <t xml:space="preserve">      </t>
    </r>
    <r>
      <rPr>
        <sz val="10"/>
        <rFont val="宋体"/>
        <charset val="134"/>
      </rPr>
      <t>海域与海岛管理</t>
    </r>
  </si>
  <si>
    <t>2200121</t>
  </si>
  <si>
    <r>
      <t xml:space="preserve">      </t>
    </r>
    <r>
      <rPr>
        <sz val="10"/>
        <rFont val="宋体"/>
        <charset val="134"/>
      </rPr>
      <t>自然资源国际合作与海洋权益维护</t>
    </r>
  </si>
  <si>
    <t>2200122</t>
  </si>
  <si>
    <r>
      <t xml:space="preserve">      </t>
    </r>
    <r>
      <rPr>
        <sz val="10"/>
        <rFont val="宋体"/>
        <charset val="134"/>
      </rPr>
      <t>自然资源卫星</t>
    </r>
  </si>
  <si>
    <t>2200123</t>
  </si>
  <si>
    <r>
      <t xml:space="preserve">      </t>
    </r>
    <r>
      <rPr>
        <sz val="10"/>
        <rFont val="宋体"/>
        <charset val="134"/>
      </rPr>
      <t>极地考察</t>
    </r>
  </si>
  <si>
    <t>2200124</t>
  </si>
  <si>
    <r>
      <t xml:space="preserve">      </t>
    </r>
    <r>
      <rPr>
        <sz val="10"/>
        <rFont val="宋体"/>
        <charset val="134"/>
      </rPr>
      <t>深海调查与资源开发</t>
    </r>
  </si>
  <si>
    <t>2200125</t>
  </si>
  <si>
    <r>
      <t xml:space="preserve">      </t>
    </r>
    <r>
      <rPr>
        <sz val="10"/>
        <rFont val="宋体"/>
        <charset val="134"/>
      </rPr>
      <t>海航航标维护</t>
    </r>
  </si>
  <si>
    <t>2200126</t>
  </si>
  <si>
    <r>
      <t xml:space="preserve">      </t>
    </r>
    <r>
      <rPr>
        <sz val="10"/>
        <rFont val="宋体"/>
        <charset val="134"/>
      </rPr>
      <t>海水淡化</t>
    </r>
  </si>
  <si>
    <t>2200127</t>
  </si>
  <si>
    <r>
      <t xml:space="preserve">      </t>
    </r>
    <r>
      <rPr>
        <sz val="10"/>
        <rFont val="宋体"/>
        <charset val="134"/>
      </rPr>
      <t>无居民海岛使用金支出</t>
    </r>
  </si>
  <si>
    <t>2200128</t>
  </si>
  <si>
    <r>
      <t xml:space="preserve">      </t>
    </r>
    <r>
      <rPr>
        <sz val="10"/>
        <rFont val="宋体"/>
        <charset val="134"/>
      </rPr>
      <t>海洋战略规划与预警监测</t>
    </r>
  </si>
  <si>
    <t>2200129</t>
  </si>
  <si>
    <r>
      <t xml:space="preserve">      </t>
    </r>
    <r>
      <rPr>
        <sz val="10"/>
        <rFont val="宋体"/>
        <charset val="134"/>
      </rPr>
      <t>基础测绘与地理信息监管</t>
    </r>
  </si>
  <si>
    <t>2200150</t>
  </si>
  <si>
    <t>2200199</t>
  </si>
  <si>
    <r>
      <t xml:space="preserve">      </t>
    </r>
    <r>
      <rPr>
        <sz val="10"/>
        <rFont val="宋体"/>
        <charset val="134"/>
      </rPr>
      <t>其他自然资源事务支出</t>
    </r>
  </si>
  <si>
    <t>22005</t>
  </si>
  <si>
    <r>
      <t xml:space="preserve">    </t>
    </r>
    <r>
      <rPr>
        <b/>
        <sz val="10"/>
        <rFont val="宋体"/>
        <charset val="134"/>
      </rPr>
      <t>气象事务</t>
    </r>
  </si>
  <si>
    <t>2200501</t>
  </si>
  <si>
    <t>2200502</t>
  </si>
  <si>
    <t>2200503</t>
  </si>
  <si>
    <t>2200504</t>
  </si>
  <si>
    <r>
      <t xml:space="preserve">      </t>
    </r>
    <r>
      <rPr>
        <sz val="10"/>
        <rFont val="宋体"/>
        <charset val="134"/>
      </rPr>
      <t>气象事业机构</t>
    </r>
  </si>
  <si>
    <t>2200506</t>
  </si>
  <si>
    <r>
      <t xml:space="preserve">      </t>
    </r>
    <r>
      <rPr>
        <sz val="10"/>
        <rFont val="宋体"/>
        <charset val="134"/>
      </rPr>
      <t>气象探测</t>
    </r>
  </si>
  <si>
    <t>2200507</t>
  </si>
  <si>
    <r>
      <t xml:space="preserve">      </t>
    </r>
    <r>
      <rPr>
        <sz val="10"/>
        <rFont val="宋体"/>
        <charset val="134"/>
      </rPr>
      <t>气象信息传输及管理</t>
    </r>
  </si>
  <si>
    <t>2200508</t>
  </si>
  <si>
    <r>
      <t xml:space="preserve">      </t>
    </r>
    <r>
      <rPr>
        <sz val="10"/>
        <rFont val="宋体"/>
        <charset val="134"/>
      </rPr>
      <t>气象预报预测</t>
    </r>
  </si>
  <si>
    <t>2200509</t>
  </si>
  <si>
    <r>
      <t xml:space="preserve">      </t>
    </r>
    <r>
      <rPr>
        <sz val="10"/>
        <rFont val="宋体"/>
        <charset val="134"/>
      </rPr>
      <t>气象服务</t>
    </r>
  </si>
  <si>
    <t>2200510</t>
  </si>
  <si>
    <r>
      <t xml:space="preserve">      </t>
    </r>
    <r>
      <rPr>
        <sz val="10"/>
        <rFont val="宋体"/>
        <charset val="134"/>
      </rPr>
      <t>气象装备保障维护</t>
    </r>
  </si>
  <si>
    <t>2200511</t>
  </si>
  <si>
    <r>
      <t xml:space="preserve">      </t>
    </r>
    <r>
      <rPr>
        <sz val="10"/>
        <rFont val="宋体"/>
        <charset val="134"/>
      </rPr>
      <t>气象基础设施建设与维修</t>
    </r>
  </si>
  <si>
    <t>2200512</t>
  </si>
  <si>
    <r>
      <t xml:space="preserve">      </t>
    </r>
    <r>
      <rPr>
        <sz val="10"/>
        <rFont val="宋体"/>
        <charset val="134"/>
      </rPr>
      <t>气象卫星</t>
    </r>
  </si>
  <si>
    <t>2200513</t>
  </si>
  <si>
    <r>
      <t xml:space="preserve">      </t>
    </r>
    <r>
      <rPr>
        <sz val="10"/>
        <rFont val="宋体"/>
        <charset val="134"/>
      </rPr>
      <t>气象法规与标准</t>
    </r>
  </si>
  <si>
    <t>2200514</t>
  </si>
  <si>
    <r>
      <t xml:space="preserve">      </t>
    </r>
    <r>
      <rPr>
        <sz val="10"/>
        <rFont val="宋体"/>
        <charset val="134"/>
      </rPr>
      <t>气象资金审计稽查</t>
    </r>
  </si>
  <si>
    <t>2200599</t>
  </si>
  <si>
    <r>
      <t xml:space="preserve">      </t>
    </r>
    <r>
      <rPr>
        <sz val="10"/>
        <rFont val="宋体"/>
        <charset val="134"/>
      </rPr>
      <t>其他气象事务支出</t>
    </r>
  </si>
  <si>
    <r>
      <t xml:space="preserve">    </t>
    </r>
    <r>
      <rPr>
        <b/>
        <sz val="10"/>
        <rFont val="宋体"/>
        <charset val="134"/>
      </rPr>
      <t>其他自然资源海洋气象等支出</t>
    </r>
  </si>
  <si>
    <t>2209999</t>
  </si>
  <si>
    <r>
      <t xml:space="preserve">    </t>
    </r>
    <r>
      <rPr>
        <b/>
        <sz val="10"/>
        <rFont val="宋体"/>
        <charset val="134"/>
      </rPr>
      <t>保障性安居工程支出</t>
    </r>
  </si>
  <si>
    <t>2210102</t>
  </si>
  <si>
    <r>
      <t xml:space="preserve">      </t>
    </r>
    <r>
      <rPr>
        <sz val="10"/>
        <rFont val="宋体"/>
        <charset val="134"/>
      </rPr>
      <t>沉陷区治理</t>
    </r>
  </si>
  <si>
    <t>2210103</t>
  </si>
  <si>
    <r>
      <t xml:space="preserve">      </t>
    </r>
    <r>
      <rPr>
        <sz val="10"/>
        <rFont val="宋体"/>
        <charset val="134"/>
      </rPr>
      <t>棚户区改造</t>
    </r>
  </si>
  <si>
    <t>2210104</t>
  </si>
  <si>
    <r>
      <t xml:space="preserve">      </t>
    </r>
    <r>
      <rPr>
        <sz val="10"/>
        <rFont val="宋体"/>
        <charset val="134"/>
      </rPr>
      <t>少数民族地区游牧民定居工程</t>
    </r>
  </si>
  <si>
    <t>2210105</t>
  </si>
  <si>
    <r>
      <t xml:space="preserve">      </t>
    </r>
    <r>
      <rPr>
        <sz val="10"/>
        <rFont val="宋体"/>
        <charset val="134"/>
      </rPr>
      <t>农村危房改造</t>
    </r>
  </si>
  <si>
    <t>2210108</t>
  </si>
  <si>
    <r>
      <t xml:space="preserve">      </t>
    </r>
    <r>
      <rPr>
        <sz val="10"/>
        <rFont val="宋体"/>
        <charset val="134"/>
      </rPr>
      <t>老旧小区改造</t>
    </r>
  </si>
  <si>
    <t>2210111</t>
  </si>
  <si>
    <r>
      <t xml:space="preserve">      </t>
    </r>
    <r>
      <rPr>
        <sz val="10"/>
        <rFont val="宋体"/>
        <charset val="134"/>
      </rPr>
      <t>配租型住房保障</t>
    </r>
  </si>
  <si>
    <t>2210112</t>
  </si>
  <si>
    <r>
      <t xml:space="preserve">      </t>
    </r>
    <r>
      <rPr>
        <sz val="10"/>
        <rFont val="宋体"/>
        <charset val="134"/>
      </rPr>
      <t>配售性保障性住房</t>
    </r>
  </si>
  <si>
    <t>2210113</t>
  </si>
  <si>
    <r>
      <t xml:space="preserve">      </t>
    </r>
    <r>
      <rPr>
        <sz val="10"/>
        <rFont val="宋体"/>
        <charset val="134"/>
      </rPr>
      <t>城中村改造</t>
    </r>
  </si>
  <si>
    <t>2210199</t>
  </si>
  <si>
    <r>
      <t xml:space="preserve">      </t>
    </r>
    <r>
      <rPr>
        <sz val="10"/>
        <rFont val="宋体"/>
        <charset val="134"/>
      </rPr>
      <t>其他保障性安居工程支出</t>
    </r>
  </si>
  <si>
    <r>
      <t xml:space="preserve">    </t>
    </r>
    <r>
      <rPr>
        <b/>
        <sz val="10"/>
        <rFont val="宋体"/>
        <charset val="134"/>
      </rPr>
      <t>住房改革支出</t>
    </r>
  </si>
  <si>
    <t>2210201</t>
  </si>
  <si>
    <r>
      <t xml:space="preserve">      </t>
    </r>
    <r>
      <rPr>
        <sz val="10"/>
        <rFont val="宋体"/>
        <charset val="134"/>
      </rPr>
      <t>住房公积金</t>
    </r>
  </si>
  <si>
    <t>2210202</t>
  </si>
  <si>
    <r>
      <t xml:space="preserve">      </t>
    </r>
    <r>
      <rPr>
        <sz val="10"/>
        <rFont val="宋体"/>
        <charset val="134"/>
      </rPr>
      <t>提租补贴</t>
    </r>
  </si>
  <si>
    <t>2210203</t>
  </si>
  <si>
    <r>
      <t xml:space="preserve">      </t>
    </r>
    <r>
      <rPr>
        <sz val="10"/>
        <rFont val="宋体"/>
        <charset val="134"/>
      </rPr>
      <t>购房补贴</t>
    </r>
  </si>
  <si>
    <r>
      <t xml:space="preserve">    </t>
    </r>
    <r>
      <rPr>
        <b/>
        <sz val="10"/>
        <rFont val="宋体"/>
        <charset val="134"/>
      </rPr>
      <t>城乡社区住宅</t>
    </r>
  </si>
  <si>
    <t>2210301</t>
  </si>
  <si>
    <r>
      <t xml:space="preserve">      </t>
    </r>
    <r>
      <rPr>
        <sz val="10"/>
        <rFont val="宋体"/>
        <charset val="134"/>
      </rPr>
      <t>公有住房建设和维修改造支出</t>
    </r>
  </si>
  <si>
    <t>2210302</t>
  </si>
  <si>
    <r>
      <t xml:space="preserve">      </t>
    </r>
    <r>
      <rPr>
        <sz val="10"/>
        <rFont val="宋体"/>
        <charset val="134"/>
      </rPr>
      <t>住房公积金管理</t>
    </r>
  </si>
  <si>
    <t>2210399</t>
  </si>
  <si>
    <r>
      <t xml:space="preserve">      </t>
    </r>
    <r>
      <rPr>
        <sz val="10"/>
        <rFont val="宋体"/>
        <charset val="134"/>
      </rPr>
      <t>其他城乡社区住宅支出</t>
    </r>
  </si>
  <si>
    <r>
      <t xml:space="preserve">    </t>
    </r>
    <r>
      <rPr>
        <b/>
        <sz val="10"/>
        <rFont val="宋体"/>
        <charset val="134"/>
      </rPr>
      <t>粮油物资事务</t>
    </r>
  </si>
  <si>
    <t>2220101</t>
  </si>
  <si>
    <t>2220102</t>
  </si>
  <si>
    <t>2220103</t>
  </si>
  <si>
    <t>2220104</t>
  </si>
  <si>
    <r>
      <t xml:space="preserve">      </t>
    </r>
    <r>
      <rPr>
        <sz val="10"/>
        <rFont val="宋体"/>
        <charset val="134"/>
      </rPr>
      <t>财务与审计支出</t>
    </r>
  </si>
  <si>
    <t>2220105</t>
  </si>
  <si>
    <r>
      <t xml:space="preserve">      </t>
    </r>
    <r>
      <rPr>
        <sz val="10"/>
        <rFont val="宋体"/>
        <charset val="134"/>
      </rPr>
      <t>信息统计</t>
    </r>
  </si>
  <si>
    <t>2220106</t>
  </si>
  <si>
    <r>
      <t xml:space="preserve">      </t>
    </r>
    <r>
      <rPr>
        <sz val="10"/>
        <rFont val="宋体"/>
        <charset val="134"/>
      </rPr>
      <t>专项业务活动</t>
    </r>
  </si>
  <si>
    <t>2220107</t>
  </si>
  <si>
    <r>
      <t xml:space="preserve">      </t>
    </r>
    <r>
      <rPr>
        <sz val="10"/>
        <rFont val="宋体"/>
        <charset val="134"/>
      </rPr>
      <t>国家粮油差价补贴</t>
    </r>
  </si>
  <si>
    <t>2220112</t>
  </si>
  <si>
    <r>
      <t xml:space="preserve">      </t>
    </r>
    <r>
      <rPr>
        <sz val="10"/>
        <rFont val="宋体"/>
        <charset val="134"/>
      </rPr>
      <t>粮食财务挂账利息补贴</t>
    </r>
  </si>
  <si>
    <t>2220113</t>
  </si>
  <si>
    <r>
      <t xml:space="preserve">      </t>
    </r>
    <r>
      <rPr>
        <sz val="10"/>
        <rFont val="宋体"/>
        <charset val="134"/>
      </rPr>
      <t>粮食财务挂账消化款</t>
    </r>
  </si>
  <si>
    <t>2220114</t>
  </si>
  <si>
    <r>
      <t xml:space="preserve">      </t>
    </r>
    <r>
      <rPr>
        <sz val="10"/>
        <rFont val="宋体"/>
        <charset val="134"/>
      </rPr>
      <t>处理陈化粮补贴</t>
    </r>
  </si>
  <si>
    <t>2220115</t>
  </si>
  <si>
    <r>
      <t xml:space="preserve">      </t>
    </r>
    <r>
      <rPr>
        <sz val="10"/>
        <rFont val="宋体"/>
        <charset val="134"/>
      </rPr>
      <t>粮食风险基金</t>
    </r>
  </si>
  <si>
    <t>2220118</t>
  </si>
  <si>
    <r>
      <t xml:space="preserve">      </t>
    </r>
    <r>
      <rPr>
        <sz val="10"/>
        <rFont val="宋体"/>
        <charset val="134"/>
      </rPr>
      <t>粮油市场调控专项资金</t>
    </r>
  </si>
  <si>
    <t>2220119</t>
  </si>
  <si>
    <r>
      <t xml:space="preserve">      </t>
    </r>
    <r>
      <rPr>
        <sz val="10"/>
        <rFont val="宋体"/>
        <charset val="134"/>
      </rPr>
      <t>设施建设</t>
    </r>
  </si>
  <si>
    <t>2220120</t>
  </si>
  <si>
    <r>
      <t xml:space="preserve">      </t>
    </r>
    <r>
      <rPr>
        <sz val="10"/>
        <rFont val="宋体"/>
        <charset val="134"/>
      </rPr>
      <t>设施安全</t>
    </r>
  </si>
  <si>
    <t>2220121</t>
  </si>
  <si>
    <r>
      <t xml:space="preserve">      </t>
    </r>
    <r>
      <rPr>
        <sz val="10"/>
        <rFont val="宋体"/>
        <charset val="134"/>
      </rPr>
      <t>物资保管保养</t>
    </r>
  </si>
  <si>
    <t>2220150</t>
  </si>
  <si>
    <t>2220199</t>
  </si>
  <si>
    <r>
      <t xml:space="preserve">      </t>
    </r>
    <r>
      <rPr>
        <sz val="10"/>
        <rFont val="宋体"/>
        <charset val="134"/>
      </rPr>
      <t>其他粮油事务支出</t>
    </r>
  </si>
  <si>
    <r>
      <t xml:space="preserve">    </t>
    </r>
    <r>
      <rPr>
        <b/>
        <sz val="10"/>
        <rFont val="宋体"/>
        <charset val="134"/>
      </rPr>
      <t>能源储备</t>
    </r>
  </si>
  <si>
    <t>2220301</t>
  </si>
  <si>
    <r>
      <t xml:space="preserve">      </t>
    </r>
    <r>
      <rPr>
        <sz val="10"/>
        <rFont val="宋体"/>
        <charset val="134"/>
      </rPr>
      <t>石油储备</t>
    </r>
  </si>
  <si>
    <t>2220303</t>
  </si>
  <si>
    <r>
      <t xml:space="preserve">      </t>
    </r>
    <r>
      <rPr>
        <sz val="10"/>
        <rFont val="宋体"/>
        <charset val="134"/>
      </rPr>
      <t>天然铀能源储备</t>
    </r>
  </si>
  <si>
    <t>2220304</t>
  </si>
  <si>
    <r>
      <t xml:space="preserve">      </t>
    </r>
    <r>
      <rPr>
        <sz val="10"/>
        <rFont val="宋体"/>
        <charset val="134"/>
      </rPr>
      <t>煤炭储备</t>
    </r>
  </si>
  <si>
    <t>2220305</t>
  </si>
  <si>
    <r>
      <t xml:space="preserve">      </t>
    </r>
    <r>
      <rPr>
        <sz val="10"/>
        <rFont val="宋体"/>
        <charset val="134"/>
      </rPr>
      <t>成品油储备</t>
    </r>
  </si>
  <si>
    <t>2220306</t>
  </si>
  <si>
    <r>
      <t xml:space="preserve">      </t>
    </r>
    <r>
      <rPr>
        <sz val="10"/>
        <rFont val="宋体"/>
        <charset val="134"/>
      </rPr>
      <t>天然气储备</t>
    </r>
  </si>
  <si>
    <t>2220399</t>
  </si>
  <si>
    <r>
      <t xml:space="preserve">      </t>
    </r>
    <r>
      <rPr>
        <sz val="10"/>
        <rFont val="宋体"/>
        <charset val="134"/>
      </rPr>
      <t>其他能源储备支出</t>
    </r>
  </si>
  <si>
    <r>
      <t xml:space="preserve">    </t>
    </r>
    <r>
      <rPr>
        <b/>
        <sz val="10"/>
        <rFont val="宋体"/>
        <charset val="134"/>
      </rPr>
      <t>粮油储备</t>
    </r>
  </si>
  <si>
    <t>2220401</t>
  </si>
  <si>
    <r>
      <t xml:space="preserve">      </t>
    </r>
    <r>
      <rPr>
        <sz val="10"/>
        <rFont val="宋体"/>
        <charset val="134"/>
      </rPr>
      <t>储备粮油补贴</t>
    </r>
  </si>
  <si>
    <t>2220402</t>
  </si>
  <si>
    <r>
      <t xml:space="preserve">      </t>
    </r>
    <r>
      <rPr>
        <sz val="10"/>
        <rFont val="宋体"/>
        <charset val="134"/>
      </rPr>
      <t>储备粮油差价补贴</t>
    </r>
  </si>
  <si>
    <t>2220403</t>
  </si>
  <si>
    <r>
      <t xml:space="preserve">      </t>
    </r>
    <r>
      <rPr>
        <sz val="10"/>
        <rFont val="宋体"/>
        <charset val="134"/>
      </rPr>
      <t>储备粮（油）库建设</t>
    </r>
  </si>
  <si>
    <t>2220404</t>
  </si>
  <si>
    <r>
      <t xml:space="preserve">      </t>
    </r>
    <r>
      <rPr>
        <sz val="10"/>
        <rFont val="宋体"/>
        <charset val="134"/>
      </rPr>
      <t>最低收购价政策支出</t>
    </r>
  </si>
  <si>
    <t>2220499</t>
  </si>
  <si>
    <r>
      <t xml:space="preserve">      </t>
    </r>
    <r>
      <rPr>
        <sz val="10"/>
        <rFont val="宋体"/>
        <charset val="134"/>
      </rPr>
      <t>其他粮油储备支出</t>
    </r>
  </si>
  <si>
    <r>
      <t xml:space="preserve">    </t>
    </r>
    <r>
      <rPr>
        <b/>
        <sz val="10"/>
        <rFont val="宋体"/>
        <charset val="134"/>
      </rPr>
      <t>重要商品储备</t>
    </r>
  </si>
  <si>
    <t>2220501</t>
  </si>
  <si>
    <r>
      <t xml:space="preserve">      </t>
    </r>
    <r>
      <rPr>
        <sz val="10"/>
        <rFont val="宋体"/>
        <charset val="134"/>
      </rPr>
      <t>棉花储备</t>
    </r>
  </si>
  <si>
    <t>2220502</t>
  </si>
  <si>
    <r>
      <t xml:space="preserve">      </t>
    </r>
    <r>
      <rPr>
        <sz val="10"/>
        <rFont val="宋体"/>
        <charset val="134"/>
      </rPr>
      <t>食糖储备</t>
    </r>
  </si>
  <si>
    <t>2220503</t>
  </si>
  <si>
    <r>
      <t xml:space="preserve">      </t>
    </r>
    <r>
      <rPr>
        <sz val="10"/>
        <rFont val="宋体"/>
        <charset val="134"/>
      </rPr>
      <t>肉类储备</t>
    </r>
  </si>
  <si>
    <t>2220504</t>
  </si>
  <si>
    <r>
      <t xml:space="preserve">      </t>
    </r>
    <r>
      <rPr>
        <sz val="10"/>
        <rFont val="宋体"/>
        <charset val="134"/>
      </rPr>
      <t>化肥储备</t>
    </r>
  </si>
  <si>
    <t>2220505</t>
  </si>
  <si>
    <r>
      <t xml:space="preserve">      </t>
    </r>
    <r>
      <rPr>
        <sz val="10"/>
        <rFont val="宋体"/>
        <charset val="134"/>
      </rPr>
      <t>农药储备</t>
    </r>
  </si>
  <si>
    <t>2220506</t>
  </si>
  <si>
    <r>
      <t xml:space="preserve">      </t>
    </r>
    <r>
      <rPr>
        <sz val="10"/>
        <rFont val="宋体"/>
        <charset val="134"/>
      </rPr>
      <t>边销茶储备</t>
    </r>
  </si>
  <si>
    <t>2220507</t>
  </si>
  <si>
    <r>
      <t xml:space="preserve">      </t>
    </r>
    <r>
      <rPr>
        <sz val="10"/>
        <rFont val="宋体"/>
        <charset val="134"/>
      </rPr>
      <t>羊毛储备</t>
    </r>
  </si>
  <si>
    <t>2220508</t>
  </si>
  <si>
    <r>
      <t xml:space="preserve">      </t>
    </r>
    <r>
      <rPr>
        <sz val="10"/>
        <rFont val="宋体"/>
        <charset val="134"/>
      </rPr>
      <t>医药储备</t>
    </r>
  </si>
  <si>
    <t>2220509</t>
  </si>
  <si>
    <r>
      <t xml:space="preserve">      </t>
    </r>
    <r>
      <rPr>
        <sz val="10"/>
        <rFont val="宋体"/>
        <charset val="134"/>
      </rPr>
      <t>食盐储备</t>
    </r>
  </si>
  <si>
    <t>2220510</t>
  </si>
  <si>
    <r>
      <t xml:space="preserve">      </t>
    </r>
    <r>
      <rPr>
        <sz val="10"/>
        <rFont val="宋体"/>
        <charset val="134"/>
      </rPr>
      <t>战略物资储备</t>
    </r>
  </si>
  <si>
    <r>
      <t xml:space="preserve">      </t>
    </r>
    <r>
      <rPr>
        <sz val="10"/>
        <rFont val="宋体"/>
        <charset val="134"/>
      </rPr>
      <t>应急物资储备</t>
    </r>
  </si>
  <si>
    <t>2220599</t>
  </si>
  <si>
    <r>
      <t xml:space="preserve">      </t>
    </r>
    <r>
      <rPr>
        <sz val="10"/>
        <rFont val="宋体"/>
        <charset val="134"/>
      </rPr>
      <t>其他重要商品储备支出</t>
    </r>
  </si>
  <si>
    <r>
      <t xml:space="preserve">    </t>
    </r>
    <r>
      <rPr>
        <b/>
        <sz val="10"/>
        <rFont val="宋体"/>
        <charset val="134"/>
      </rPr>
      <t>应急管理事务</t>
    </r>
  </si>
  <si>
    <t>2240101</t>
  </si>
  <si>
    <t>2240102</t>
  </si>
  <si>
    <t>2240103</t>
  </si>
  <si>
    <t>2240104</t>
  </si>
  <si>
    <r>
      <t xml:space="preserve">      </t>
    </r>
    <r>
      <rPr>
        <sz val="10"/>
        <rFont val="宋体"/>
        <charset val="134"/>
      </rPr>
      <t>灾害风险防治</t>
    </r>
  </si>
  <si>
    <t>2240105</t>
  </si>
  <si>
    <r>
      <t xml:space="preserve">      </t>
    </r>
    <r>
      <rPr>
        <sz val="10"/>
        <rFont val="宋体"/>
        <charset val="134"/>
      </rPr>
      <t>国务院安委会专项</t>
    </r>
  </si>
  <si>
    <t>2240106</t>
  </si>
  <si>
    <r>
      <t xml:space="preserve">      </t>
    </r>
    <r>
      <rPr>
        <sz val="10"/>
        <rFont val="宋体"/>
        <charset val="134"/>
      </rPr>
      <t>安全监管</t>
    </r>
  </si>
  <si>
    <t>2240108</t>
  </si>
  <si>
    <r>
      <t xml:space="preserve">      </t>
    </r>
    <r>
      <rPr>
        <sz val="10"/>
        <rFont val="宋体"/>
        <charset val="134"/>
      </rPr>
      <t>应急救援</t>
    </r>
  </si>
  <si>
    <t>2240109</t>
  </si>
  <si>
    <r>
      <t xml:space="preserve">      </t>
    </r>
    <r>
      <rPr>
        <sz val="10"/>
        <rFont val="宋体"/>
        <charset val="134"/>
      </rPr>
      <t>应急管理</t>
    </r>
  </si>
  <si>
    <t>2240150</t>
  </si>
  <si>
    <t>2240199</t>
  </si>
  <si>
    <r>
      <t xml:space="preserve">      </t>
    </r>
    <r>
      <rPr>
        <sz val="10"/>
        <rFont val="宋体"/>
        <charset val="134"/>
      </rPr>
      <t>其他应急管理支出</t>
    </r>
  </si>
  <si>
    <r>
      <t xml:space="preserve">    </t>
    </r>
    <r>
      <rPr>
        <b/>
        <sz val="10"/>
        <rFont val="宋体"/>
        <charset val="134"/>
      </rPr>
      <t>消防事务</t>
    </r>
  </si>
  <si>
    <t>2240201</t>
  </si>
  <si>
    <t>2240202</t>
  </si>
  <si>
    <t>2240203</t>
  </si>
  <si>
    <t>2240204</t>
  </si>
  <si>
    <r>
      <t xml:space="preserve">      </t>
    </r>
    <r>
      <rPr>
        <sz val="10"/>
        <rFont val="宋体"/>
        <charset val="134"/>
      </rPr>
      <t>消防应急救援</t>
    </r>
  </si>
  <si>
    <t>2240250</t>
  </si>
  <si>
    <t>2240299</t>
  </si>
  <si>
    <r>
      <t xml:space="preserve">      </t>
    </r>
    <r>
      <rPr>
        <sz val="10"/>
        <rFont val="宋体"/>
        <charset val="134"/>
      </rPr>
      <t>其他消防事务支出</t>
    </r>
  </si>
  <si>
    <r>
      <t xml:space="preserve">    </t>
    </r>
    <r>
      <rPr>
        <b/>
        <sz val="10"/>
        <rFont val="宋体"/>
        <charset val="134"/>
      </rPr>
      <t>矿山安全</t>
    </r>
  </si>
  <si>
    <t>2240401</t>
  </si>
  <si>
    <t>2240402</t>
  </si>
  <si>
    <t>2240403</t>
  </si>
  <si>
    <t>2240404</t>
  </si>
  <si>
    <r>
      <t xml:space="preserve">      </t>
    </r>
    <r>
      <rPr>
        <sz val="10"/>
        <rFont val="宋体"/>
        <charset val="134"/>
      </rPr>
      <t>矿山安全监察事务</t>
    </r>
  </si>
  <si>
    <t>2240405</t>
  </si>
  <si>
    <r>
      <t xml:space="preserve">      </t>
    </r>
    <r>
      <rPr>
        <sz val="10"/>
        <rFont val="宋体"/>
        <charset val="134"/>
      </rPr>
      <t>矿山应急救援事务</t>
    </r>
  </si>
  <si>
    <t>2240450</t>
  </si>
  <si>
    <t>2240499</t>
  </si>
  <si>
    <r>
      <t xml:space="preserve">      </t>
    </r>
    <r>
      <rPr>
        <sz val="10"/>
        <rFont val="宋体"/>
        <charset val="134"/>
      </rPr>
      <t>其他矿山安全支出</t>
    </r>
  </si>
  <si>
    <r>
      <t xml:space="preserve">    </t>
    </r>
    <r>
      <rPr>
        <b/>
        <sz val="10"/>
        <rFont val="宋体"/>
        <charset val="134"/>
      </rPr>
      <t>地震事务</t>
    </r>
  </si>
  <si>
    <t>2240501</t>
  </si>
  <si>
    <t>2240502</t>
  </si>
  <si>
    <t>2240503</t>
  </si>
  <si>
    <t>2240504</t>
  </si>
  <si>
    <r>
      <t xml:space="preserve">      </t>
    </r>
    <r>
      <rPr>
        <sz val="10"/>
        <rFont val="宋体"/>
        <charset val="134"/>
      </rPr>
      <t>地震监测</t>
    </r>
  </si>
  <si>
    <t>2240505</t>
  </si>
  <si>
    <r>
      <t xml:space="preserve">      </t>
    </r>
    <r>
      <rPr>
        <sz val="10"/>
        <rFont val="宋体"/>
        <charset val="134"/>
      </rPr>
      <t>地震预测预报</t>
    </r>
  </si>
  <si>
    <t>2240506</t>
  </si>
  <si>
    <r>
      <t xml:space="preserve">      </t>
    </r>
    <r>
      <rPr>
        <sz val="10"/>
        <rFont val="宋体"/>
        <charset val="134"/>
      </rPr>
      <t>地震灾害预防</t>
    </r>
  </si>
  <si>
    <t>2240507</t>
  </si>
  <si>
    <r>
      <t xml:space="preserve">      </t>
    </r>
    <r>
      <rPr>
        <sz val="10"/>
        <rFont val="宋体"/>
        <charset val="134"/>
      </rPr>
      <t>地震应急救援</t>
    </r>
  </si>
  <si>
    <t>2240508</t>
  </si>
  <si>
    <r>
      <t xml:space="preserve">      </t>
    </r>
    <r>
      <rPr>
        <sz val="10"/>
        <rFont val="宋体"/>
        <charset val="134"/>
      </rPr>
      <t>地震环境探察</t>
    </r>
  </si>
  <si>
    <t>2240509</t>
  </si>
  <si>
    <r>
      <t xml:space="preserve">      </t>
    </r>
    <r>
      <rPr>
        <sz val="10"/>
        <rFont val="宋体"/>
        <charset val="134"/>
      </rPr>
      <t>防震减灾信息管理</t>
    </r>
  </si>
  <si>
    <t>2240510</t>
  </si>
  <si>
    <r>
      <t xml:space="preserve">      </t>
    </r>
    <r>
      <rPr>
        <sz val="10"/>
        <rFont val="宋体"/>
        <charset val="134"/>
      </rPr>
      <t>防震减灾基础管理</t>
    </r>
  </si>
  <si>
    <t>2240550</t>
  </si>
  <si>
    <r>
      <t xml:space="preserve">      </t>
    </r>
    <r>
      <rPr>
        <sz val="10"/>
        <rFont val="宋体"/>
        <charset val="134"/>
      </rPr>
      <t>地震事业机构</t>
    </r>
  </si>
  <si>
    <t>2240599</t>
  </si>
  <si>
    <r>
      <t xml:space="preserve">      </t>
    </r>
    <r>
      <rPr>
        <sz val="10"/>
        <rFont val="宋体"/>
        <charset val="134"/>
      </rPr>
      <t>其他地震事务支出</t>
    </r>
  </si>
  <si>
    <r>
      <t xml:space="preserve">    </t>
    </r>
    <r>
      <rPr>
        <b/>
        <sz val="10"/>
        <rFont val="宋体"/>
        <charset val="134"/>
      </rPr>
      <t>自然灾害防治</t>
    </r>
  </si>
  <si>
    <t>2240601</t>
  </si>
  <si>
    <r>
      <t xml:space="preserve">      </t>
    </r>
    <r>
      <rPr>
        <sz val="10"/>
        <rFont val="宋体"/>
        <charset val="134"/>
      </rPr>
      <t>地质灾害防治</t>
    </r>
  </si>
  <si>
    <t>2240602</t>
  </si>
  <si>
    <r>
      <t xml:space="preserve">      </t>
    </r>
    <r>
      <rPr>
        <sz val="10"/>
        <rFont val="宋体"/>
        <charset val="134"/>
      </rPr>
      <t>森林草原防灾减灾</t>
    </r>
  </si>
  <si>
    <t>2240699</t>
  </si>
  <si>
    <r>
      <t xml:space="preserve">      </t>
    </r>
    <r>
      <rPr>
        <sz val="10"/>
        <rFont val="宋体"/>
        <charset val="134"/>
      </rPr>
      <t>其他自然灾害防治支出</t>
    </r>
  </si>
  <si>
    <r>
      <t xml:space="preserve">    </t>
    </r>
    <r>
      <rPr>
        <b/>
        <sz val="10"/>
        <rFont val="宋体"/>
        <charset val="134"/>
      </rPr>
      <t>自然灾害救灾及恢复重建支出</t>
    </r>
  </si>
  <si>
    <t>2240703</t>
  </si>
  <si>
    <r>
      <t xml:space="preserve">      </t>
    </r>
    <r>
      <rPr>
        <sz val="10"/>
        <rFont val="宋体"/>
        <charset val="134"/>
      </rPr>
      <t>自然灾害救灾补助</t>
    </r>
  </si>
  <si>
    <t>2240704</t>
  </si>
  <si>
    <r>
      <t xml:space="preserve">      </t>
    </r>
    <r>
      <rPr>
        <sz val="10"/>
        <rFont val="宋体"/>
        <charset val="134"/>
      </rPr>
      <t>自然灾害灾后重建补助</t>
    </r>
  </si>
  <si>
    <t>2240799</t>
  </si>
  <si>
    <r>
      <t xml:space="preserve">      </t>
    </r>
    <r>
      <rPr>
        <sz val="10"/>
        <rFont val="宋体"/>
        <charset val="134"/>
      </rPr>
      <t>其他自然灾害救灾及恢复重建支出</t>
    </r>
  </si>
  <si>
    <r>
      <t xml:space="preserve">    </t>
    </r>
    <r>
      <rPr>
        <b/>
        <sz val="10"/>
        <rFont val="宋体"/>
        <charset val="134"/>
      </rPr>
      <t>其他灾害防治及应急管理支出</t>
    </r>
  </si>
  <si>
    <t>2249999</t>
  </si>
  <si>
    <r>
      <t xml:space="preserve">    </t>
    </r>
    <r>
      <rPr>
        <b/>
        <sz val="10"/>
        <rFont val="宋体"/>
        <charset val="134"/>
      </rPr>
      <t>年初预留</t>
    </r>
  </si>
  <si>
    <t>2290201</t>
  </si>
  <si>
    <r>
      <t xml:space="preserve">      </t>
    </r>
    <r>
      <rPr>
        <sz val="10"/>
        <rFont val="宋体"/>
        <charset val="134"/>
      </rPr>
      <t>年初预留</t>
    </r>
  </si>
  <si>
    <t>2299999</t>
  </si>
  <si>
    <r>
      <rPr>
        <b/>
        <sz val="10"/>
        <rFont val="宋体"/>
        <charset val="134"/>
      </rPr>
      <t>二十四、债务还本支出</t>
    </r>
  </si>
  <si>
    <r>
      <t xml:space="preserve">    </t>
    </r>
    <r>
      <rPr>
        <b/>
        <sz val="10"/>
        <rFont val="宋体"/>
        <charset val="134"/>
      </rPr>
      <t>地方政府一般债务还本支出</t>
    </r>
  </si>
  <si>
    <t>2310301</t>
  </si>
  <si>
    <r>
      <t xml:space="preserve">      </t>
    </r>
    <r>
      <rPr>
        <sz val="10"/>
        <rFont val="宋体"/>
        <charset val="134"/>
      </rPr>
      <t>地方政府一般债券还本支出</t>
    </r>
  </si>
  <si>
    <t>2310302</t>
  </si>
  <si>
    <r>
      <t xml:space="preserve">      </t>
    </r>
    <r>
      <rPr>
        <sz val="10"/>
        <rFont val="宋体"/>
        <charset val="134"/>
      </rPr>
      <t>地方政府向外国政府借款还本支出</t>
    </r>
  </si>
  <si>
    <t>2310303</t>
  </si>
  <si>
    <r>
      <t xml:space="preserve">      </t>
    </r>
    <r>
      <rPr>
        <sz val="10"/>
        <rFont val="宋体"/>
        <charset val="134"/>
      </rPr>
      <t>地方政府向国际组织借款还本支出</t>
    </r>
  </si>
  <si>
    <t>2310399</t>
  </si>
  <si>
    <r>
      <t xml:space="preserve">      </t>
    </r>
    <r>
      <rPr>
        <sz val="10"/>
        <rFont val="宋体"/>
        <charset val="134"/>
      </rPr>
      <t>地方政府其他一般债务还本支出</t>
    </r>
  </si>
  <si>
    <r>
      <rPr>
        <b/>
        <sz val="10"/>
        <rFont val="宋体"/>
        <charset val="134"/>
      </rPr>
      <t>二十三、债务付息支出</t>
    </r>
  </si>
  <si>
    <r>
      <t xml:space="preserve">    </t>
    </r>
    <r>
      <rPr>
        <b/>
        <sz val="10"/>
        <rFont val="宋体"/>
        <charset val="134"/>
      </rPr>
      <t>地方政府一般债务付息支出</t>
    </r>
  </si>
  <si>
    <t>2320301</t>
  </si>
  <si>
    <r>
      <t xml:space="preserve">      </t>
    </r>
    <r>
      <rPr>
        <sz val="10"/>
        <rFont val="宋体"/>
        <charset val="134"/>
      </rPr>
      <t>地方政府一般债券付息支出</t>
    </r>
  </si>
  <si>
    <t>2320302</t>
  </si>
  <si>
    <r>
      <t xml:space="preserve">      </t>
    </r>
    <r>
      <rPr>
        <sz val="10"/>
        <rFont val="宋体"/>
        <charset val="134"/>
      </rPr>
      <t>地方政府向外国政府借款付息支出</t>
    </r>
  </si>
  <si>
    <t>2320303</t>
  </si>
  <si>
    <r>
      <t xml:space="preserve">      </t>
    </r>
    <r>
      <rPr>
        <sz val="10"/>
        <rFont val="宋体"/>
        <charset val="134"/>
      </rPr>
      <t>地方政府向国际组织借款付息支出</t>
    </r>
  </si>
  <si>
    <t>2320399</t>
  </si>
  <si>
    <r>
      <t xml:space="preserve">      </t>
    </r>
    <r>
      <rPr>
        <sz val="10"/>
        <rFont val="宋体"/>
        <charset val="134"/>
      </rPr>
      <t>地方政府其他一般债务付息支出</t>
    </r>
  </si>
  <si>
    <r>
      <rPr>
        <b/>
        <sz val="10"/>
        <rFont val="宋体"/>
        <charset val="134"/>
      </rPr>
      <t>二十四、债务发行费用支出</t>
    </r>
  </si>
  <si>
    <r>
      <t xml:space="preserve">    </t>
    </r>
    <r>
      <rPr>
        <b/>
        <sz val="10"/>
        <rFont val="宋体"/>
        <charset val="134"/>
      </rPr>
      <t>地方政府一般债务发行费用支出</t>
    </r>
  </si>
  <si>
    <t>2330301</t>
  </si>
  <si>
    <r>
      <t xml:space="preserve">      </t>
    </r>
    <r>
      <rPr>
        <sz val="10"/>
        <rFont val="宋体"/>
        <charset val="134"/>
      </rPr>
      <t>地方政府一般债务发行费用支出</t>
    </r>
  </si>
  <si>
    <r>
      <rPr>
        <b/>
        <sz val="10"/>
        <rFont val="宋体"/>
        <charset val="134"/>
      </rPr>
      <t>支出合计</t>
    </r>
  </si>
  <si>
    <r>
      <t>表十二、三江县</t>
    </r>
    <r>
      <rPr>
        <b/>
        <sz val="16"/>
        <rFont val="Times New Roman"/>
        <family val="1"/>
        <charset val="0"/>
      </rPr>
      <t>2026</t>
    </r>
    <r>
      <rPr>
        <b/>
        <sz val="16"/>
        <rFont val="黑体"/>
        <family val="1"/>
        <charset val="0"/>
      </rPr>
      <t>年一般公共预算本级支出表</t>
    </r>
  </si>
  <si>
    <t>末级标识</t>
  </si>
  <si>
    <t>科目编码</t>
  </si>
  <si>
    <t>类</t>
  </si>
  <si>
    <t>款</t>
  </si>
  <si>
    <t>科目名称</t>
  </si>
  <si>
    <t>一般公共服务支出</t>
  </si>
  <si>
    <t>人大事务</t>
  </si>
  <si>
    <t>项</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</si>
  <si>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</si>
  <si>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</si>
  <si>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</si>
  <si>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</si>
  <si>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</si>
  <si>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</si>
  <si>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</si>
  <si>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</si>
  <si>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</si>
  <si>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</si>
  <si>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</si>
  <si>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</si>
  <si>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</si>
  <si>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</si>
  <si>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</si>
  <si>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</si>
  <si>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</si>
  <si>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</si>
  <si>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专项业务活动</t>
  </si>
  <si>
    <t>政务公开审批</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</si>
  <si>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</si>
  <si>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</si>
  <si>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</si>
  <si>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</si>
  <si>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</si>
  <si>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</si>
  <si>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</si>
  <si>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</si>
  <si>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</si>
  <si>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</si>
  <si>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</si>
  <si>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</si>
  <si>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</si>
  <si>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</si>
  <si>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</si>
  <si>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</si>
  <si>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</si>
  <si>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</si>
  <si>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</si>
  <si>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</si>
  <si>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</si>
  <si>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</si>
  <si>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</si>
  <si>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</si>
  <si>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</si>
  <si>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</si>
  <si>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</si>
  <si>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</si>
  <si>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</si>
  <si>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</si>
  <si>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</si>
  <si>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</si>
  <si>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</si>
  <si>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</si>
  <si>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</si>
  <si>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</si>
  <si>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</si>
  <si>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</si>
  <si>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</si>
  <si>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</si>
  <si>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</si>
  <si>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</si>
  <si>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</si>
  <si>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</si>
  <si>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</si>
  <si>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</si>
  <si>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</si>
  <si>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</si>
  <si>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</si>
  <si>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</si>
  <si>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</si>
  <si>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</si>
  <si>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</si>
  <si>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</si>
  <si>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</si>
  <si>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</si>
  <si>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</si>
  <si>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</si>
  <si>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</si>
  <si>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</si>
  <si>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</si>
  <si>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</si>
  <si>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</si>
  <si>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</si>
  <si>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</si>
  <si>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</si>
  <si>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</si>
  <si>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</si>
  <si>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</si>
  <si>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</si>
  <si>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</si>
  <si>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</si>
  <si>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</si>
  <si>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</si>
  <si>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</si>
  <si>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</si>
  <si>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</si>
  <si>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</si>
  <si>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</si>
  <si>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</si>
  <si>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</si>
  <si>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</si>
  <si>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</si>
  <si>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</si>
  <si>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</si>
  <si>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</si>
  <si>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</si>
  <si>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</si>
  <si>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</si>
  <si>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</si>
  <si>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2013704</t>
  </si>
  <si>
    <t>信息安全事务</t>
  </si>
  <si>
    <t>其他网信事务支出</t>
  </si>
  <si>
    <t>市场监督管理事务</t>
  </si>
  <si>
    <t>经营主体管理</t>
  </si>
  <si>
    <t>市场秩序执法</t>
  </si>
  <si>
    <t>质量基础</t>
  </si>
  <si>
    <t>药品事务</t>
  </si>
  <si>
    <t>医疗器械事务</t>
  </si>
  <si>
    <t>化妆品事务</t>
  </si>
  <si>
    <t>质量安全监管</t>
  </si>
  <si>
    <t>食品安全监管</t>
  </si>
  <si>
    <t>其他市场监督管理事务</t>
  </si>
  <si>
    <t xml:space="preserve">   社会工作事务</t>
  </si>
  <si>
    <t>其他社会工作事务支出</t>
  </si>
  <si>
    <t>信访事务</t>
  </si>
  <si>
    <t>信访业务</t>
  </si>
  <si>
    <t>其他信访事务支出</t>
  </si>
  <si>
    <t>数据事务</t>
  </si>
  <si>
    <t>其他数据事务支出</t>
  </si>
  <si>
    <t>其他一般公共服务支出</t>
  </si>
  <si>
    <t>国家赔偿费用支出</t>
  </si>
  <si>
    <t>外交支出</t>
  </si>
  <si>
    <t>外交管理事务</t>
  </si>
  <si>
    <t>其他外交管理事务支出</t>
  </si>
  <si>
    <t>驻外机构</t>
  </si>
  <si>
    <t>驻外使领馆（团、处）</t>
  </si>
  <si>
    <t>其他驻外机构支出</t>
  </si>
  <si>
    <t>援外优惠贷款贴息</t>
  </si>
  <si>
    <t>对外援助</t>
  </si>
  <si>
    <t>国际组织会务</t>
  </si>
  <si>
    <t>国际组织捐赠</t>
  </si>
  <si>
    <t>维和摊款</t>
  </si>
  <si>
    <t>国际组织股金及基金</t>
  </si>
  <si>
    <t>其他国际组织支出</t>
  </si>
  <si>
    <t>对外合作与交流</t>
  </si>
  <si>
    <t>在华国际会议</t>
  </si>
  <si>
    <t>国际交流活动</t>
  </si>
  <si>
    <t>对外合作活动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</si>
  <si>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</si>
  <si>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</si>
  <si>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</si>
  <si>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</si>
  <si>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</si>
  <si>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</si>
  <si>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</si>
  <si>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</si>
  <si>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</si>
  <si>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</si>
  <si>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</si>
  <si>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国防动员</t>
  </si>
  <si>
    <t>现役部队</t>
  </si>
  <si>
    <t>预备役部队</t>
  </si>
  <si>
    <t>其他军费支出</t>
  </si>
  <si>
    <t>国防科研事业</t>
  </si>
  <si>
    <t>专项工程</t>
  </si>
  <si>
    <t>兵役征集</t>
  </si>
  <si>
    <t>经济动员</t>
  </si>
  <si>
    <t>人民防空</t>
  </si>
  <si>
    <t>交通战备</t>
  </si>
  <si>
    <t>民兵</t>
  </si>
  <si>
    <t>边海防</t>
  </si>
  <si>
    <t>其他国防动员支出</t>
  </si>
  <si>
    <t>其他国防支出</t>
  </si>
  <si>
    <t>203999</t>
  </si>
  <si>
    <t>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</si>
  <si>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</si>
  <si>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</si>
  <si>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</si>
  <si>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</si>
  <si>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</si>
  <si>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</si>
  <si>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</si>
  <si>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</si>
  <si>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</si>
  <si>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</si>
  <si>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</si>
  <si>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</si>
  <si>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</si>
  <si>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</si>
  <si>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</si>
  <si>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</si>
  <si>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</si>
  <si>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</si>
  <si>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</si>
  <si>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</si>
  <si>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</si>
  <si>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</si>
  <si>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</si>
  <si>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</si>
  <si>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法律援助</t>
  </si>
  <si>
    <t>国家统一法律职业资格考试</t>
  </si>
  <si>
    <t>社区矫正</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</si>
  <si>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</si>
  <si>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</si>
  <si>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</si>
  <si>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</si>
  <si>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</si>
  <si>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</si>
  <si>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</si>
  <si>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</si>
  <si>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</si>
  <si>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</si>
  <si>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</si>
  <si>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</si>
  <si>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</si>
  <si>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</si>
  <si>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</si>
  <si>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</si>
  <si>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</si>
  <si>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</si>
  <si>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</si>
  <si>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</si>
  <si>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</si>
  <si>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</si>
  <si>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</si>
  <si>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</si>
  <si>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</si>
  <si>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</si>
  <si>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</si>
  <si>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</si>
  <si>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</si>
  <si>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</si>
  <si>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</si>
  <si>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</si>
  <si>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</si>
  <si>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</si>
  <si>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</si>
  <si>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</si>
  <si>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</si>
  <si>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</si>
  <si>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</si>
  <si>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</si>
  <si>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</si>
  <si>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</si>
  <si>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</si>
  <si>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</si>
  <si>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</si>
  <si>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</si>
  <si>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</si>
  <si>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</si>
  <si>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</si>
  <si>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</si>
  <si>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</si>
  <si>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</si>
  <si>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</si>
  <si>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专门学校教育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</si>
  <si>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</si>
  <si>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</si>
  <si>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</si>
  <si>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</si>
  <si>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</si>
  <si>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</si>
  <si>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</si>
  <si>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</si>
  <si>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</si>
  <si>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</si>
  <si>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</si>
  <si>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</si>
  <si>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</si>
  <si>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</si>
  <si>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</si>
  <si>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</si>
  <si>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</si>
  <si>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</si>
  <si>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</si>
  <si>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</si>
  <si>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</si>
  <si>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</si>
  <si>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</si>
  <si>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</si>
  <si>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</si>
  <si>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</si>
  <si>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</si>
  <si>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</si>
  <si>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</si>
  <si>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</si>
  <si>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</si>
  <si>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</si>
  <si>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</si>
  <si>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</si>
  <si>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</si>
  <si>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</si>
  <si>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</si>
  <si>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</si>
  <si>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</si>
  <si>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</si>
  <si>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</si>
  <si>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</si>
  <si>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</si>
  <si>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</si>
  <si>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</si>
  <si>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</si>
  <si>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</si>
  <si>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</si>
  <si>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</si>
  <si>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</si>
  <si>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</si>
  <si>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</si>
  <si>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</si>
  <si>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</si>
  <si>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</si>
  <si>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</si>
  <si>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</si>
  <si>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</si>
  <si>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</si>
  <si>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</si>
  <si>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</si>
  <si>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</si>
  <si>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</si>
  <si>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</si>
  <si>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</si>
  <si>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</si>
  <si>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</si>
  <si>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</si>
  <si>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</si>
  <si>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</si>
  <si>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</si>
  <si>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</si>
  <si>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</si>
  <si>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</si>
  <si>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</si>
  <si>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文化和旅游事务管理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</si>
  <si>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</si>
  <si>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</si>
  <si>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</si>
  <si>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</si>
  <si>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</si>
  <si>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</si>
  <si>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</si>
  <si>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</si>
  <si>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</si>
  <si>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</si>
  <si>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</si>
  <si>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</si>
  <si>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</si>
  <si>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</si>
  <si>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</si>
  <si>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</si>
  <si>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</si>
  <si>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</si>
  <si>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</si>
  <si>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</si>
  <si>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</si>
  <si>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</si>
  <si>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</si>
  <si>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</si>
  <si>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</si>
  <si>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其他文化体育与传媒支出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</si>
  <si>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</si>
  <si>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</si>
  <si>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</si>
  <si>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</si>
  <si>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</si>
  <si>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</si>
  <si>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</si>
  <si>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</si>
  <si>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</si>
  <si>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</si>
  <si>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</si>
  <si>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</si>
  <si>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</si>
  <si>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</si>
  <si>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</si>
  <si>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</si>
  <si>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</si>
  <si>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民间组织管理</t>
  </si>
  <si>
    <t>行政区划和地名管理</t>
  </si>
  <si>
    <t>2080208</t>
  </si>
  <si>
    <t>基层政权建设和社区管理事务</t>
  </si>
  <si>
    <t>老龄事务</t>
  </si>
  <si>
    <t>其他民政管理事务支出</t>
  </si>
  <si>
    <t>补充全国社会保障基金</t>
  </si>
  <si>
    <t>用一般公共预算补充基金</t>
  </si>
  <si>
    <t>行政事业单位离退休</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</si>
  <si>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</si>
  <si>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</si>
  <si>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</si>
  <si>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</si>
  <si>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</si>
  <si>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</si>
  <si>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</si>
  <si>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</si>
  <si>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</si>
  <si>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</si>
  <si>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</si>
  <si>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</si>
  <si>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</si>
  <si>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</si>
  <si>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</si>
  <si>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</si>
  <si>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</si>
  <si>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职业技能评价补贴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</si>
  <si>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</si>
  <si>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</si>
  <si>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</si>
  <si>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</si>
  <si>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</si>
  <si>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</si>
  <si>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</si>
  <si>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</si>
  <si>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</si>
  <si>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</si>
  <si>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光荣院</t>
  </si>
  <si>
    <t>褒奖纪念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</si>
  <si>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</si>
  <si>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</si>
  <si>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</si>
  <si>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</si>
  <si>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</si>
  <si>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</si>
  <si>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</si>
  <si>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</si>
  <si>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</si>
  <si>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</si>
  <si>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</si>
  <si>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</si>
  <si>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</si>
  <si>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</si>
  <si>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</si>
  <si>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</si>
  <si>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</si>
  <si>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</si>
  <si>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</si>
  <si>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</si>
  <si>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</si>
  <si>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</si>
  <si>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</si>
  <si>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</si>
  <si>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</si>
  <si>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</si>
  <si>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</si>
  <si>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</si>
  <si>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</si>
  <si>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</si>
  <si>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</si>
  <si>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</si>
  <si>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</si>
  <si>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</si>
  <si>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</si>
  <si>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</si>
  <si>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</si>
  <si>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</si>
  <si>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</si>
  <si>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</si>
  <si>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</si>
  <si>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</si>
  <si>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</si>
  <si>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</si>
  <si>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</si>
  <si>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</si>
  <si>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</si>
  <si>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</si>
  <si>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</si>
  <si>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</si>
  <si>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</si>
  <si>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</si>
  <si>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</si>
  <si>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</si>
  <si>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</si>
  <si>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</si>
  <si>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</si>
  <si>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</si>
  <si>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</si>
  <si>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</si>
  <si>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</si>
  <si>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</si>
  <si>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</si>
  <si>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</si>
  <si>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</si>
  <si>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</si>
  <si>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</si>
  <si>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</si>
  <si>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</si>
  <si>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</si>
  <si>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</si>
  <si>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</si>
  <si>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</si>
  <si>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</si>
  <si>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</si>
  <si>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</si>
  <si>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</si>
  <si>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</si>
  <si>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</si>
  <si>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</si>
  <si>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</si>
  <si>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</si>
  <si>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</si>
  <si>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</si>
  <si>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</si>
  <si>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</si>
  <si>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</si>
  <si>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</si>
  <si>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</si>
  <si>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</si>
  <si>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</si>
  <si>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</si>
  <si>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</si>
  <si>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</si>
  <si>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</si>
  <si>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</si>
  <si>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</si>
  <si>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</si>
  <si>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</si>
  <si>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</si>
  <si>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</si>
  <si>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</si>
  <si>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</si>
  <si>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</si>
  <si>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</si>
  <si>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</si>
  <si>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</si>
  <si>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</si>
  <si>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</si>
  <si>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</si>
  <si>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</si>
  <si>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</si>
  <si>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</si>
  <si>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中医药事务</t>
  </si>
  <si>
    <t>中医（民族医）药专项</t>
  </si>
  <si>
    <t>其他中医药支出</t>
  </si>
  <si>
    <t>疾病预防控制事务</t>
  </si>
  <si>
    <t>其他疾病预防控制事务支出</t>
  </si>
  <si>
    <t>托育机构</t>
  </si>
  <si>
    <t>其他托育服务支出</t>
  </si>
  <si>
    <t>其他卫生健康支出</t>
  </si>
  <si>
    <t>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</si>
  <si>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</si>
  <si>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</si>
  <si>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</si>
  <si>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</si>
  <si>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</si>
  <si>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</si>
  <si>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</si>
  <si>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</si>
  <si>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</si>
  <si>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</si>
  <si>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</si>
  <si>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</si>
  <si>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</si>
  <si>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</si>
  <si>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</si>
  <si>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</si>
  <si>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</si>
  <si>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</si>
  <si>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</si>
  <si>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</si>
  <si>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</si>
  <si>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</si>
  <si>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</si>
  <si>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</si>
  <si>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</si>
  <si>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2110403</t>
  </si>
  <si>
    <t>自然保护区</t>
  </si>
  <si>
    <t>其他自然生态保护支出</t>
  </si>
  <si>
    <t>天然林保护</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</si>
  <si>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</si>
  <si>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</si>
  <si>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</si>
  <si>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</si>
  <si>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</si>
  <si>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</si>
  <si>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</si>
  <si>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</si>
  <si>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</si>
  <si>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</si>
  <si>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</si>
  <si>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</si>
  <si>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</si>
  <si>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</si>
  <si>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</si>
  <si>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</si>
  <si>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</si>
  <si>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</si>
  <si>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</si>
  <si>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</si>
  <si>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</si>
  <si>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其他清洁能源支出</t>
  </si>
  <si>
    <t>循环经济</t>
  </si>
  <si>
    <t>能源管理事务</t>
  </si>
  <si>
    <t>能源科技装备</t>
  </si>
  <si>
    <t>能源行业管理</t>
  </si>
  <si>
    <t>能源管理</t>
  </si>
  <si>
    <t>农村电网建设</t>
  </si>
  <si>
    <t>其他能源管理事务支出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</si>
  <si>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</si>
  <si>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</si>
  <si>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</si>
  <si>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</si>
  <si>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</si>
  <si>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</si>
  <si>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</si>
  <si>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</si>
  <si>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</si>
  <si>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</si>
  <si>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</si>
  <si>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</si>
  <si>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</si>
  <si>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</si>
  <si>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</si>
  <si>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</si>
  <si>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</si>
  <si>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农林水支出</t>
  </si>
  <si>
    <t>农业农村</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</si>
  <si>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</si>
  <si>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</si>
  <si>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</si>
  <si>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</si>
  <si>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</si>
  <si>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</si>
  <si>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</si>
  <si>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</si>
  <si>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</si>
  <si>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</si>
  <si>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</si>
  <si>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</si>
  <si>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</si>
  <si>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</si>
  <si>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</si>
  <si>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</si>
  <si>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农村道路建设</t>
  </si>
  <si>
    <t>渔业发展</t>
  </si>
  <si>
    <t>对高校毕业生到基层任职补助</t>
  </si>
  <si>
    <t>耕地建设与利用</t>
  </si>
  <si>
    <t>其他农业支出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</si>
  <si>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</si>
  <si>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</si>
  <si>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</si>
  <si>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</si>
  <si>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</si>
  <si>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</si>
  <si>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</si>
  <si>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</si>
  <si>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</si>
  <si>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</si>
  <si>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</si>
  <si>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</si>
  <si>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</si>
  <si>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</si>
  <si>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</si>
  <si>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</si>
  <si>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行业业务管理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</si>
  <si>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</si>
  <si>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</si>
  <si>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</si>
  <si>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</si>
  <si>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</si>
  <si>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</si>
  <si>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</si>
  <si>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</si>
  <si>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</si>
  <si>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</si>
  <si>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</si>
  <si>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</si>
  <si>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</si>
  <si>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</si>
  <si>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</si>
  <si>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</si>
  <si>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</si>
  <si>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</si>
  <si>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</si>
  <si>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</si>
  <si>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</si>
  <si>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</si>
  <si>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</si>
  <si>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</si>
  <si>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</si>
  <si>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</si>
  <si>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扶贫</t>
  </si>
  <si>
    <t>2130501</t>
  </si>
  <si>
    <t>2130502</t>
  </si>
  <si>
    <t>2130503</t>
  </si>
  <si>
    <t>农村基础设施建设</t>
  </si>
  <si>
    <t>生产发展</t>
  </si>
  <si>
    <t>社会发展</t>
  </si>
  <si>
    <t>扶贫贷款奖补和贴息</t>
  </si>
  <si>
    <t>“三西”农业建设专项补助</t>
  </si>
  <si>
    <t>2130550</t>
  </si>
  <si>
    <t>扶贫事业机构</t>
  </si>
  <si>
    <t>其他扶贫支出</t>
  </si>
  <si>
    <t>农村综合改革</t>
  </si>
  <si>
    <t>对村级公益事业建设的补助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</si>
  <si>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</si>
  <si>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</si>
  <si>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</si>
  <si>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</si>
  <si>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</si>
  <si>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</si>
  <si>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</si>
  <si>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</si>
  <si>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</si>
  <si>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</si>
  <si>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</si>
  <si>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</si>
  <si>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</si>
  <si>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</si>
  <si>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</si>
  <si>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</si>
  <si>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</si>
  <si>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公路建设</t>
  </si>
  <si>
    <t>公路养护</t>
  </si>
  <si>
    <t>交通运输信息化建设</t>
  </si>
  <si>
    <t>公路和运输安全</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</si>
  <si>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</si>
  <si>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</si>
  <si>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</si>
  <si>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</si>
  <si>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</si>
  <si>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</si>
  <si>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</si>
  <si>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</si>
  <si>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</si>
  <si>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</si>
  <si>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</si>
  <si>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</si>
  <si>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</si>
  <si>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</si>
  <si>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</si>
  <si>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</si>
  <si>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</si>
  <si>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</si>
  <si>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</si>
  <si>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</si>
  <si>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</si>
  <si>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</si>
  <si>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</si>
  <si>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</si>
  <si>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</si>
  <si>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</si>
  <si>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</si>
  <si>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</si>
  <si>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</si>
  <si>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</si>
  <si>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</si>
  <si>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</si>
  <si>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</si>
  <si>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</si>
  <si>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</si>
  <si>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</si>
  <si>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</si>
  <si>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</si>
  <si>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</si>
  <si>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</si>
  <si>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</si>
  <si>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</si>
  <si>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</si>
  <si>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</si>
  <si>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</si>
  <si>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</si>
  <si>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</si>
  <si>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</si>
  <si>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</si>
  <si>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</si>
  <si>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</si>
  <si>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</si>
  <si>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</si>
  <si>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</si>
  <si>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</si>
  <si>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</si>
  <si>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</si>
  <si>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</si>
  <si>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</si>
  <si>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</si>
  <si>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</si>
  <si>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</si>
  <si>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</si>
  <si>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</si>
  <si>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</si>
  <si>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</si>
  <si>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</si>
  <si>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</si>
  <si>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</si>
  <si>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</si>
  <si>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</si>
  <si>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</si>
  <si>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</si>
  <si>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</si>
  <si>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</si>
  <si>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</si>
  <si>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</si>
  <si>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</si>
  <si>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</si>
  <si>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</si>
  <si>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</si>
  <si>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</si>
  <si>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</si>
  <si>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</si>
  <si>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</si>
  <si>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</si>
  <si>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</si>
  <si>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</si>
  <si>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</si>
  <si>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</si>
  <si>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</si>
  <si>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</si>
  <si>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</si>
  <si>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</si>
  <si>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</si>
  <si>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</si>
  <si>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</si>
  <si>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</si>
  <si>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</si>
  <si>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</si>
  <si>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</si>
  <si>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</si>
  <si>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</si>
  <si>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</si>
  <si>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</si>
  <si>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</si>
  <si>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</si>
  <si>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</si>
  <si>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</si>
  <si>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</si>
  <si>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其他金融调控支出</t>
  </si>
  <si>
    <t>其他金融支出</t>
  </si>
  <si>
    <t>重点企业贷款贴息</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</si>
  <si>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</si>
  <si>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</si>
  <si>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</si>
  <si>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</si>
  <si>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</si>
  <si>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</si>
  <si>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</si>
  <si>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</si>
  <si>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</si>
  <si>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</si>
  <si>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</si>
  <si>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土地资源利用与保护</t>
  </si>
  <si>
    <t>自然资源社会公益服务</t>
  </si>
  <si>
    <t>自然资源行业业务管理</t>
  </si>
  <si>
    <t>自然资源调查</t>
  </si>
  <si>
    <t>土地资源储备支出</t>
  </si>
  <si>
    <t>地质矿产资源与环境调查</t>
  </si>
  <si>
    <t>地质矿产资源利用与保护</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</si>
  <si>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</si>
  <si>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</si>
  <si>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</si>
  <si>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</si>
  <si>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</si>
  <si>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</si>
  <si>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</si>
  <si>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</si>
  <si>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海航航标维护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</si>
  <si>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</si>
  <si>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</si>
  <si>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</si>
  <si>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</si>
  <si>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</si>
  <si>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</si>
  <si>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</si>
  <si>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</si>
  <si>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</si>
  <si>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</si>
  <si>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</si>
  <si>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</si>
  <si>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</si>
  <si>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</si>
  <si>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</si>
  <si>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</si>
  <si>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</si>
  <si>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</si>
  <si>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</si>
  <si>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</si>
  <si>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沉陷区治理</t>
  </si>
  <si>
    <t>棚户区改造</t>
  </si>
  <si>
    <t>少数民族地区游牧民定居工程</t>
  </si>
  <si>
    <t>农村危房改造</t>
  </si>
  <si>
    <t>老旧小区改造</t>
  </si>
  <si>
    <t>配租型住房保障</t>
  </si>
  <si>
    <t>配售性保障性住房</t>
  </si>
  <si>
    <t>城中村改造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</si>
  <si>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</si>
  <si>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</si>
  <si>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</si>
  <si>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</si>
  <si>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</si>
  <si>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</si>
  <si>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</si>
  <si>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</si>
  <si>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</si>
  <si>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</si>
  <si>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</si>
  <si>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</si>
  <si>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</si>
  <si>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</si>
  <si>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</si>
  <si>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</si>
  <si>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</si>
  <si>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</si>
  <si>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</si>
  <si>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</si>
  <si>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</si>
  <si>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</si>
  <si>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</si>
  <si>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其他粮油事务支出</t>
  </si>
  <si>
    <t>能源储备</t>
  </si>
  <si>
    <t>石油储备</t>
  </si>
  <si>
    <t>天然铀能源储备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</si>
  <si>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</si>
  <si>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</si>
  <si>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</si>
  <si>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</si>
  <si>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</si>
  <si>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</si>
  <si>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</si>
  <si>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</si>
  <si>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</si>
  <si>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</si>
  <si>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</si>
  <si>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</si>
  <si>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</si>
  <si>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</si>
  <si>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</si>
  <si>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</si>
  <si>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</si>
  <si>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</si>
  <si>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</si>
  <si>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</si>
  <si>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</si>
  <si>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2220511</t>
  </si>
  <si>
    <t>应急物资储备</t>
  </si>
  <si>
    <t>其他重要商品储备支出</t>
  </si>
  <si>
    <t>灾害防治及应急管理支出</t>
  </si>
  <si>
    <t>应急管理事务</t>
  </si>
  <si>
    <t>灾害风险防治</t>
  </si>
  <si>
    <t>国务院安委会专项</t>
  </si>
  <si>
    <t>安全监管</t>
  </si>
  <si>
    <t>应急救援</t>
  </si>
  <si>
    <t>应急管理</t>
  </si>
  <si>
    <t>其他应急管理支出</t>
  </si>
  <si>
    <t>消防事务</t>
  </si>
  <si>
    <t>消防应急救援</t>
  </si>
  <si>
    <t>其他消防事务支出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</si>
  <si>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</si>
  <si>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</si>
  <si>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</si>
  <si>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</si>
  <si>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</si>
  <si>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</si>
  <si>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</si>
  <si>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</si>
  <si>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</si>
  <si>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</si>
  <si>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</si>
  <si>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</si>
  <si>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</si>
  <si>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</si>
  <si>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</si>
  <si>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</si>
  <si>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</si>
  <si>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</si>
  <si>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</si>
  <si>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</si>
  <si>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</si>
  <si>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</si>
  <si>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</si>
  <si>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预备费</t>
  </si>
  <si>
    <t>年初预留</t>
  </si>
  <si>
    <t>债务付息支出</t>
  </si>
  <si>
    <t>地方政府一般债务付息支出</t>
  </si>
  <si>
    <t>地方政府一般债券付息支出</t>
  </si>
  <si>
    <t>地方政府向外国政府借款付息支出</t>
  </si>
  <si>
    <t>地方政府向国际组织借款付息支出</t>
  </si>
  <si>
    <t>地方政府其他一般债务付息支出</t>
  </si>
  <si>
    <t>债务发行费用支出</t>
  </si>
  <si>
    <t>地方政府一般债务发行费用支出</t>
  </si>
  <si>
    <t>表十四、三江县2026年一般公共预算支出经济分类预算表</t>
  </si>
  <si>
    <t>单位：万元</t>
  </si>
  <si>
    <r>
      <rPr>
        <b/>
        <sz val="9"/>
        <rFont val="SimSun"/>
        <charset val="134"/>
      </rPr>
      <t>科目编码</t>
    </r>
  </si>
  <si>
    <r>
      <rPr>
        <b/>
        <sz val="9"/>
        <rFont val="SimSun"/>
        <charset val="134"/>
      </rPr>
      <t>科目名称</t>
    </r>
  </si>
  <si>
    <r>
      <rPr>
        <b/>
        <sz val="9"/>
        <rFont val="SimSun"/>
        <charset val="134"/>
      </rPr>
      <t>合计</t>
    </r>
  </si>
  <si>
    <r>
      <rPr>
        <b/>
        <sz val="9"/>
        <rFont val="SimSun"/>
        <charset val="134"/>
      </rPr>
      <t>基本支出</t>
    </r>
  </si>
  <si>
    <r>
      <rPr>
        <b/>
        <sz val="9"/>
        <rFont val="SimSun"/>
        <charset val="134"/>
      </rPr>
      <t>项目支出</t>
    </r>
  </si>
  <si>
    <r>
      <rPr>
        <b/>
        <sz val="10"/>
        <rFont val="SimSun"/>
        <charset val="134"/>
      </rPr>
      <t>合计</t>
    </r>
  </si>
  <si>
    <t>501</t>
  </si>
  <si>
    <r>
      <rPr>
        <b/>
        <sz val="10"/>
        <rFont val="SimSun"/>
        <charset val="134"/>
      </rPr>
      <t>机关工资福利支出</t>
    </r>
  </si>
  <si>
    <t>50101</t>
  </si>
  <si>
    <r>
      <rPr>
        <sz val="10"/>
        <rFont val="SimSun"/>
        <charset val="134"/>
      </rPr>
      <t>工资奖金津补贴</t>
    </r>
  </si>
  <si>
    <t>50102</t>
  </si>
  <si>
    <r>
      <rPr>
        <sz val="10"/>
        <rFont val="SimSun"/>
        <charset val="134"/>
      </rPr>
      <t>社会保障缴费</t>
    </r>
  </si>
  <si>
    <t>50103</t>
  </si>
  <si>
    <r>
      <rPr>
        <sz val="10"/>
        <rFont val="SimSun"/>
        <charset val="134"/>
      </rPr>
      <t>住房公积金</t>
    </r>
  </si>
  <si>
    <t>50199</t>
  </si>
  <si>
    <r>
      <rPr>
        <sz val="10"/>
        <rFont val="SimSun"/>
        <charset val="134"/>
      </rPr>
      <t>其他工资福利支出</t>
    </r>
  </si>
  <si>
    <t>502</t>
  </si>
  <si>
    <r>
      <rPr>
        <b/>
        <sz val="10"/>
        <rFont val="SimSun"/>
        <charset val="134"/>
      </rPr>
      <t>机关商品和服务支出</t>
    </r>
  </si>
  <si>
    <t>50201</t>
  </si>
  <si>
    <r>
      <rPr>
        <sz val="10"/>
        <rFont val="SimSun"/>
        <charset val="134"/>
      </rPr>
      <t>办公经费</t>
    </r>
  </si>
  <si>
    <t>50202</t>
  </si>
  <si>
    <r>
      <rPr>
        <sz val="10"/>
        <rFont val="SimSun"/>
        <charset val="134"/>
      </rPr>
      <t>会议费</t>
    </r>
  </si>
  <si>
    <t>50203</t>
  </si>
  <si>
    <r>
      <rPr>
        <sz val="10"/>
        <rFont val="SimSun"/>
        <charset val="134"/>
      </rPr>
      <t>培训费</t>
    </r>
  </si>
  <si>
    <t>50204</t>
  </si>
  <si>
    <r>
      <rPr>
        <sz val="10"/>
        <rFont val="SimSun"/>
        <charset val="134"/>
      </rPr>
      <t>专用材料购置费</t>
    </r>
  </si>
  <si>
    <t>50205</t>
  </si>
  <si>
    <r>
      <rPr>
        <sz val="10"/>
        <rFont val="SimSun"/>
        <charset val="134"/>
      </rPr>
      <t>委托业务费</t>
    </r>
  </si>
  <si>
    <t>50206</t>
  </si>
  <si>
    <r>
      <rPr>
        <sz val="10"/>
        <rFont val="SimSun"/>
        <charset val="134"/>
      </rPr>
      <t>公务接待费</t>
    </r>
  </si>
  <si>
    <t>50208</t>
  </si>
  <si>
    <r>
      <rPr>
        <sz val="10"/>
        <rFont val="SimSun"/>
        <charset val="134"/>
      </rPr>
      <t>公务用车运行维护费</t>
    </r>
  </si>
  <si>
    <t>50209</t>
  </si>
  <si>
    <r>
      <rPr>
        <sz val="10"/>
        <rFont val="SimSun"/>
        <charset val="134"/>
      </rPr>
      <t>维修（护）费</t>
    </r>
  </si>
  <si>
    <t>50299</t>
  </si>
  <si>
    <r>
      <rPr>
        <sz val="10"/>
        <rFont val="SimSun"/>
        <charset val="134"/>
      </rPr>
      <t>其他商品和服务支出</t>
    </r>
  </si>
  <si>
    <t>503</t>
  </si>
  <si>
    <r>
      <rPr>
        <b/>
        <sz val="10"/>
        <rFont val="SimSun"/>
        <charset val="134"/>
      </rPr>
      <t>机关资本性支出</t>
    </r>
  </si>
  <si>
    <t>50301</t>
  </si>
  <si>
    <r>
      <rPr>
        <sz val="10"/>
        <rFont val="SimSun"/>
        <charset val="134"/>
      </rPr>
      <t>房屋建筑物购建</t>
    </r>
  </si>
  <si>
    <t>50302</t>
  </si>
  <si>
    <r>
      <rPr>
        <sz val="10"/>
        <rFont val="SimSun"/>
        <charset val="134"/>
      </rPr>
      <t>基础设施建设</t>
    </r>
  </si>
  <si>
    <r>
      <rPr>
        <sz val="10"/>
        <rFont val="SimSun"/>
        <charset val="134"/>
      </rPr>
      <t>公务用车购置</t>
    </r>
  </si>
  <si>
    <t>50306</t>
  </si>
  <si>
    <r>
      <rPr>
        <sz val="10"/>
        <rFont val="SimSun"/>
        <charset val="134"/>
      </rPr>
      <t>设备购置</t>
    </r>
  </si>
  <si>
    <t>50307</t>
  </si>
  <si>
    <r>
      <rPr>
        <sz val="10"/>
        <rFont val="SimSun"/>
        <charset val="134"/>
      </rPr>
      <t>大型修缮</t>
    </r>
  </si>
  <si>
    <t>50399</t>
  </si>
  <si>
    <r>
      <rPr>
        <sz val="10"/>
        <rFont val="SimSun"/>
        <charset val="134"/>
      </rPr>
      <t>其他资本性支出</t>
    </r>
  </si>
  <si>
    <r>
      <rPr>
        <b/>
        <sz val="10"/>
        <rFont val="SimSun"/>
        <charset val="134"/>
      </rPr>
      <t>机关资本性支出（基本建设）</t>
    </r>
  </si>
  <si>
    <t>50401</t>
  </si>
  <si>
    <t>50402</t>
  </si>
  <si>
    <t>50404</t>
  </si>
  <si>
    <t>50499</t>
  </si>
  <si>
    <t>505</t>
  </si>
  <si>
    <r>
      <rPr>
        <b/>
        <sz val="10"/>
        <rFont val="SimSun"/>
        <charset val="134"/>
      </rPr>
      <t>对事业单位经常性补助</t>
    </r>
  </si>
  <si>
    <t>50501</t>
  </si>
  <si>
    <r>
      <rPr>
        <sz val="10"/>
        <rFont val="SimSun"/>
        <charset val="134"/>
      </rPr>
      <t>工资福利支出</t>
    </r>
  </si>
  <si>
    <t>50502</t>
  </si>
  <si>
    <r>
      <rPr>
        <sz val="10"/>
        <rFont val="SimSun"/>
        <charset val="134"/>
      </rPr>
      <t>商品和服务支出</t>
    </r>
  </si>
  <si>
    <r>
      <rPr>
        <sz val="10"/>
        <rFont val="SimSun"/>
        <charset val="134"/>
      </rPr>
      <t>其他对事业单位补助</t>
    </r>
  </si>
  <si>
    <t>506</t>
  </si>
  <si>
    <r>
      <rPr>
        <b/>
        <sz val="10"/>
        <rFont val="SimSun"/>
        <charset val="134"/>
      </rPr>
      <t>对事业单位资本性补助</t>
    </r>
  </si>
  <si>
    <t>50601</t>
  </si>
  <si>
    <r>
      <rPr>
        <sz val="10"/>
        <rFont val="SimSun"/>
        <charset val="134"/>
      </rPr>
      <t>资本性支出</t>
    </r>
  </si>
  <si>
    <t>50602</t>
  </si>
  <si>
    <r>
      <rPr>
        <sz val="10"/>
        <rFont val="SimSun"/>
        <charset val="134"/>
      </rPr>
      <t>资本性支出（基本建设）</t>
    </r>
  </si>
  <si>
    <t>507</t>
  </si>
  <si>
    <r>
      <rPr>
        <b/>
        <sz val="10"/>
        <rFont val="SimSun"/>
        <charset val="134"/>
      </rPr>
      <t>对企业补助</t>
    </r>
  </si>
  <si>
    <t>50701</t>
  </si>
  <si>
    <r>
      <rPr>
        <sz val="10"/>
        <rFont val="SimSun"/>
        <charset val="134"/>
      </rPr>
      <t>费用补贴</t>
    </r>
  </si>
  <si>
    <t>50702</t>
  </si>
  <si>
    <r>
      <rPr>
        <sz val="10"/>
        <rFont val="SimSun"/>
        <charset val="134"/>
      </rPr>
      <t>利息补贴</t>
    </r>
  </si>
  <si>
    <t>50799</t>
  </si>
  <si>
    <r>
      <rPr>
        <sz val="10"/>
        <rFont val="SimSun"/>
        <charset val="134"/>
      </rPr>
      <t>其他对企业补助</t>
    </r>
  </si>
  <si>
    <t>509</t>
  </si>
  <si>
    <r>
      <rPr>
        <b/>
        <sz val="10"/>
        <rFont val="SimSun"/>
        <charset val="134"/>
      </rPr>
      <t>对个人和家庭的补助</t>
    </r>
  </si>
  <si>
    <t>50901</t>
  </si>
  <si>
    <r>
      <rPr>
        <sz val="10"/>
        <rFont val="SimSun"/>
        <charset val="134"/>
      </rPr>
      <t>社会福利和救助</t>
    </r>
  </si>
  <si>
    <t>50902</t>
  </si>
  <si>
    <r>
      <rPr>
        <sz val="10"/>
        <rFont val="SimSun"/>
        <charset val="134"/>
      </rPr>
      <t>助学金</t>
    </r>
  </si>
  <si>
    <t>50903</t>
  </si>
  <si>
    <r>
      <rPr>
        <sz val="10"/>
        <rFont val="SimSun"/>
        <charset val="134"/>
      </rPr>
      <t>个人农业生产补贴</t>
    </r>
  </si>
  <si>
    <t>50905</t>
  </si>
  <si>
    <r>
      <rPr>
        <sz val="10"/>
        <rFont val="SimSun"/>
        <charset val="134"/>
      </rPr>
      <t>离退休费</t>
    </r>
  </si>
  <si>
    <t>50999</t>
  </si>
  <si>
    <r>
      <rPr>
        <sz val="10"/>
        <rFont val="SimSun"/>
        <charset val="134"/>
      </rPr>
      <t>其他对个人和家庭补助</t>
    </r>
  </si>
  <si>
    <t>510</t>
  </si>
  <si>
    <r>
      <rPr>
        <b/>
        <sz val="10"/>
        <rFont val="SimSun"/>
        <charset val="134"/>
      </rPr>
      <t>对社会保障基金补助</t>
    </r>
  </si>
  <si>
    <t>51002</t>
  </si>
  <si>
    <r>
      <rPr>
        <sz val="10"/>
        <rFont val="SimSun"/>
        <charset val="134"/>
      </rPr>
      <t>对社会保险基金补助</t>
    </r>
  </si>
  <si>
    <r>
      <rPr>
        <sz val="10"/>
        <rFont val="SimSun"/>
        <charset val="134"/>
      </rPr>
      <t>补充全国社会保障基金</t>
    </r>
  </si>
  <si>
    <t>511</t>
  </si>
  <si>
    <r>
      <rPr>
        <b/>
        <sz val="10"/>
        <rFont val="SimSun"/>
        <charset val="134"/>
      </rPr>
      <t>债务利息及费用支出</t>
    </r>
  </si>
  <si>
    <t>51101</t>
  </si>
  <si>
    <r>
      <rPr>
        <sz val="10"/>
        <rFont val="SimSun"/>
        <charset val="134"/>
      </rPr>
      <t>国内债务付息</t>
    </r>
  </si>
  <si>
    <t>512</t>
  </si>
  <si>
    <r>
      <rPr>
        <b/>
        <sz val="10"/>
        <rFont val="SimSun"/>
        <charset val="134"/>
      </rPr>
      <t>债务还本支出</t>
    </r>
  </si>
  <si>
    <r>
      <rPr>
        <sz val="10"/>
        <rFont val="SimSun"/>
        <charset val="134"/>
      </rPr>
      <t>还本支出</t>
    </r>
  </si>
  <si>
    <t>513</t>
  </si>
  <si>
    <r>
      <rPr>
        <b/>
        <sz val="10"/>
        <rFont val="SimSun"/>
        <charset val="134"/>
      </rPr>
      <t>转移性支出</t>
    </r>
  </si>
  <si>
    <r>
      <rPr>
        <sz val="10"/>
        <rFont val="SimSun"/>
        <charset val="134"/>
      </rPr>
      <t>转移性支出</t>
    </r>
  </si>
  <si>
    <t>514</t>
  </si>
  <si>
    <r>
      <rPr>
        <b/>
        <sz val="10"/>
        <rFont val="SimSun"/>
        <charset val="134"/>
      </rPr>
      <t>预备费</t>
    </r>
  </si>
  <si>
    <r>
      <rPr>
        <sz val="10"/>
        <rFont val="SimSun"/>
        <charset val="134"/>
      </rPr>
      <t>预备费</t>
    </r>
  </si>
  <si>
    <r>
      <rPr>
        <sz val="10"/>
        <rFont val="SimSun"/>
        <charset val="134"/>
      </rPr>
      <t>预留</t>
    </r>
  </si>
  <si>
    <r>
      <rPr>
        <b/>
        <sz val="10"/>
        <rFont val="SimSun"/>
        <charset val="134"/>
      </rPr>
      <t>其他支出</t>
    </r>
  </si>
  <si>
    <r>
      <rPr>
        <sz val="10"/>
        <rFont val="SimSun"/>
        <charset val="134"/>
      </rPr>
      <t>其他支出</t>
    </r>
  </si>
  <si>
    <t>三江县2026年一般公共预算本级基本支出</t>
  </si>
  <si>
    <r>
      <t>2025</t>
    </r>
    <r>
      <rPr>
        <b/>
        <sz val="9"/>
        <rFont val="宋体"/>
        <charset val="134"/>
      </rPr>
      <t>年预算数</t>
    </r>
  </si>
  <si>
    <r>
      <t>2025</t>
    </r>
    <r>
      <rPr>
        <b/>
        <sz val="9"/>
        <rFont val="宋体"/>
        <charset val="134"/>
      </rPr>
      <t>年执行数</t>
    </r>
  </si>
  <si>
    <r>
      <t>2026</t>
    </r>
    <r>
      <rPr>
        <b/>
        <sz val="9"/>
        <rFont val="宋体"/>
        <charset val="134"/>
      </rPr>
      <t>年预算数</t>
    </r>
  </si>
  <si>
    <r>
      <rPr>
        <b/>
        <sz val="9"/>
        <rFont val="宋体"/>
        <charset val="134"/>
      </rPr>
      <t>比上年预算数</t>
    </r>
    <r>
      <rPr>
        <b/>
        <sz val="9"/>
        <rFont val="Times New Roman"/>
        <family val="1"/>
        <charset val="0"/>
      </rPr>
      <t>+-%</t>
    </r>
  </si>
  <si>
    <r>
      <t xml:space="preserve">    </t>
    </r>
    <r>
      <rPr>
        <sz val="10"/>
        <rFont val="宋体"/>
        <charset val="134"/>
      </rPr>
      <t>医疗卫生共同财政事权转移支付收入</t>
    </r>
    <r>
      <rPr>
        <sz val="10"/>
        <rFont val="Times New Roman"/>
        <family val="1"/>
        <charset val="0"/>
      </rPr>
      <t xml:space="preserve">  </t>
    </r>
  </si>
  <si>
    <r>
      <t xml:space="preserve">    </t>
    </r>
    <r>
      <rPr>
        <sz val="10"/>
        <rFont val="宋体"/>
        <charset val="134"/>
      </rPr>
      <t>医疗卫生共同财政事权转移支付支出</t>
    </r>
    <r>
      <rPr>
        <sz val="10"/>
        <rFont val="Times New Roman"/>
        <family val="1"/>
        <charset val="0"/>
      </rPr>
      <t xml:space="preserve">  </t>
    </r>
  </si>
  <si>
    <t>表十七、2025年一般公共财政预算收支平衡表</t>
  </si>
  <si>
    <t>表十四、三江县2026年一般公共预算支出资金来源情况表</t>
  </si>
  <si>
    <t>项目</t>
  </si>
  <si>
    <t>合计</t>
  </si>
  <si>
    <t>财力安排</t>
  </si>
  <si>
    <t>专项转移支付收入安排</t>
  </si>
  <si>
    <t>动用上年结余安排</t>
  </si>
  <si>
    <t>调入资金</t>
  </si>
  <si>
    <t>动用预算稳定调节基金</t>
  </si>
  <si>
    <t>政府债务资金</t>
  </si>
  <si>
    <t>其他资金
(财力性专项）</t>
  </si>
  <si>
    <t>一、一般公共服务支出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</si>
  <si>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</si>
  <si>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</si>
  <si>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</si>
  <si>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</si>
  <si>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</si>
  <si>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</si>
  <si>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</si>
  <si>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</si>
  <si>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</si>
  <si>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</si>
  <si>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</si>
  <si>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</si>
  <si>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</si>
  <si>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</si>
  <si>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</si>
  <si>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</si>
  <si>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</si>
  <si>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</si>
  <si>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</si>
  <si>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</si>
  <si>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</si>
  <si>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</si>
  <si>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</si>
  <si>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</si>
  <si>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</si>
  <si>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</si>
  <si>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</si>
  <si>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数据事务</t>
  </si>
  <si>
    <t xml:space="preserve">    其他一般公共服务支出</t>
  </si>
  <si>
    <t>二、外交支出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</si>
  <si>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</si>
  <si>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</si>
  <si>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</si>
  <si>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</si>
  <si>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</si>
  <si>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</si>
  <si>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</si>
  <si>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国际发展合作</t>
  </si>
  <si>
    <t xml:space="preserve">    其他外交支出</t>
  </si>
  <si>
    <t>三、国防支出</t>
  </si>
  <si>
    <t xml:space="preserve">    军费</t>
  </si>
  <si>
    <t xml:space="preserve">    国防科研事业</t>
  </si>
  <si>
    <t xml:space="preserve">    专项工程</t>
  </si>
  <si>
    <t xml:space="preserve">    国防动员</t>
  </si>
  <si>
    <t xml:space="preserve">    其他国防支出</t>
  </si>
  <si>
    <t>四、公共安全支出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</si>
  <si>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</si>
  <si>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</si>
  <si>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</si>
  <si>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</si>
  <si>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</si>
  <si>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</si>
  <si>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</si>
  <si>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</si>
  <si>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</si>
  <si>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</si>
  <si>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</si>
  <si>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五、教育支出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</si>
  <si>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</si>
  <si>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</si>
  <si>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</si>
  <si>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</si>
  <si>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</si>
  <si>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</si>
  <si>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</si>
  <si>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</si>
  <si>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</si>
  <si>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</si>
  <si>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六、科学技术支出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</si>
  <si>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</si>
  <si>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</si>
  <si>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</si>
  <si>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</si>
  <si>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</si>
  <si>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</si>
  <si>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</si>
  <si>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</si>
  <si>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</si>
  <si>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</si>
  <si>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七、文化旅游体育与传媒支出</t>
  </si>
  <si>
    <t xml:space="preserve">    文化和旅游</t>
  </si>
  <si>
    <t xml:space="preserve">    文物</t>
  </si>
  <si>
    <t xml:space="preserve">    体育</t>
  </si>
  <si>
    <t xml:space="preserve">    新闻出版电影</t>
  </si>
  <si>
    <t xml:space="preserve">    广播电视</t>
  </si>
  <si>
    <t xml:space="preserve">    其他文化体育与传媒支出</t>
  </si>
  <si>
    <t>八、社会保障和就业支出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</si>
  <si>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</si>
  <si>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</si>
  <si>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</si>
  <si>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</si>
  <si>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</si>
  <si>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</si>
  <si>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</si>
  <si>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</si>
  <si>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</si>
  <si>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</si>
  <si>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</si>
  <si>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</si>
  <si>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</si>
  <si>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</si>
  <si>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</si>
  <si>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</si>
  <si>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</si>
  <si>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</si>
  <si>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</si>
  <si>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</si>
  <si>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</si>
  <si>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九、卫生健康支出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</si>
  <si>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</si>
  <si>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</si>
  <si>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</si>
  <si>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</si>
  <si>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</si>
  <si>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</si>
  <si>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</si>
  <si>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</si>
  <si>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</si>
  <si>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</si>
  <si>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中医药事务</t>
  </si>
  <si>
    <t xml:space="preserve">    疾病预防控制事务</t>
  </si>
  <si>
    <t xml:space="preserve">    托育服务</t>
  </si>
  <si>
    <t xml:space="preserve">    其他卫生健康支出</t>
  </si>
  <si>
    <t>十、节能环保支出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</si>
  <si>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</si>
  <si>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</si>
  <si>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</si>
  <si>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</si>
  <si>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</si>
  <si>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</si>
  <si>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</si>
  <si>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</si>
  <si>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</si>
  <si>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</si>
  <si>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清洁能源</t>
  </si>
  <si>
    <t xml:space="preserve">    循环经济</t>
  </si>
  <si>
    <t xml:space="preserve">    能源管理事务</t>
  </si>
  <si>
    <t xml:space="preserve">    其他节能环保支出</t>
  </si>
  <si>
    <t>十一、城乡社区支出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</si>
  <si>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</si>
  <si>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</si>
  <si>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</si>
  <si>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</si>
  <si>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</si>
  <si>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</si>
  <si>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十二、农林水支出</t>
  </si>
  <si>
    <t xml:space="preserve">      农业</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</si>
  <si>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</si>
  <si>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</si>
  <si>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</si>
  <si>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</si>
  <si>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</si>
  <si>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</si>
  <si>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</si>
  <si>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十三、交通运输支出</t>
  </si>
  <si>
    <t xml:space="preserve">      公路水路运输</t>
  </si>
  <si>
    <t xml:space="preserve">      铁路运输</t>
  </si>
  <si>
    <t xml:space="preserve">      民用航空运输</t>
  </si>
  <si>
    <t xml:space="preserve">      邮政业支出</t>
  </si>
  <si>
    <t xml:space="preserve">      其他交通运输支出</t>
  </si>
  <si>
    <t>十四、资源勘探信息等支出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</si>
  <si>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</si>
  <si>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</si>
  <si>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</si>
  <si>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</si>
  <si>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</si>
  <si>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</si>
  <si>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其他资源勘探信息等支出</t>
  </si>
  <si>
    <t>十五、商业服务业等支出</t>
  </si>
  <si>
    <t xml:space="preserve">      商业流通事务</t>
  </si>
  <si>
    <t xml:space="preserve">      涉外发展服务支出</t>
  </si>
  <si>
    <t xml:space="preserve">      其他商业服务业等支出</t>
  </si>
  <si>
    <t>十六、金融支出</t>
  </si>
  <si>
    <t xml:space="preserve">      金融部门行政支出</t>
  </si>
  <si>
    <t xml:space="preserve">      金融部门监管支出</t>
  </si>
  <si>
    <t xml:space="preserve">      金融发展支出</t>
  </si>
  <si>
    <t xml:space="preserve">      金融调控支出</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</si>
  <si>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</si>
  <si>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</si>
  <si>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</si>
  <si>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</si>
  <si>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</si>
  <si>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</si>
  <si>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</si>
  <si>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农业农村</t>
  </si>
  <si>
    <t xml:space="preserve">      交通运输</t>
  </si>
  <si>
    <t xml:space="preserve">      住房保障</t>
  </si>
  <si>
    <t xml:space="preserve">      其他支出</t>
  </si>
  <si>
    <t>十八、自然资源海洋气象等支出</t>
  </si>
  <si>
    <t xml:space="preserve">      自然资源事务</t>
  </si>
  <si>
    <t xml:space="preserve">      气象事务</t>
  </si>
  <si>
    <t xml:space="preserve">      其他自然资源海洋气象等支出</t>
  </si>
  <si>
    <t>十九、住房保障支出</t>
  </si>
  <si>
    <t xml:space="preserve">      保障性安居工程支出</t>
  </si>
  <si>
    <t xml:space="preserve">      住房改革支出</t>
  </si>
  <si>
    <t xml:space="preserve">      城乡社区住宅</t>
  </si>
  <si>
    <t>二十、粮油物资储备支出</t>
  </si>
  <si>
    <t xml:space="preserve">      粮油物资事务</t>
  </si>
  <si>
    <t xml:space="preserve">      能源储备</t>
  </si>
  <si>
    <t xml:space="preserve">      粮油储备</t>
  </si>
  <si>
    <t xml:space="preserve">      重要商品储备</t>
  </si>
  <si>
    <t>二十一、灾害防治及应急管理支出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</si>
  <si>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</si>
  <si>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</si>
  <si>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</si>
  <si>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</si>
  <si>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</si>
  <si>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</si>
  <si>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</si>
  <si>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二十二、预备费</t>
  </si>
  <si>
    <t>二十三、其他支出</t>
  </si>
  <si>
    <t xml:space="preserve">      年初预留</t>
  </si>
  <si>
    <t>二十四、债务还本支出</t>
  </si>
  <si>
    <t xml:space="preserve">  中央政府国内债务还本支出</t>
  </si>
  <si>
    <t xml:space="preserve">  中央政府国外债务还本支出</t>
  </si>
  <si>
    <t xml:space="preserve">  地方政府一般债务还本支出</t>
  </si>
  <si>
    <t>二十五、债务付息支出</t>
  </si>
  <si>
    <t xml:space="preserve">      地方政府一般债务付息支出</t>
  </si>
  <si>
    <t>二十六、债务发行费用支出</t>
  </si>
  <si>
    <t xml:space="preserve">      地方政府一般债务发行费用支出</t>
  </si>
  <si>
    <t>支出合计</t>
  </si>
  <si>
    <t>表十八、2026年政府一般债务限额和余额情况表</t>
  </si>
  <si>
    <t>单位:万元</t>
  </si>
  <si>
    <t>一般债务</t>
  </si>
  <si>
    <t>一般债券</t>
  </si>
  <si>
    <t>向外国政府借款</t>
  </si>
  <si>
    <t>向国际组织借款</t>
  </si>
  <si>
    <t>其他一般债务</t>
  </si>
  <si>
    <t>上年末地方政府债务余额</t>
  </si>
  <si>
    <t>本年地方政府债务余额限额(预算数)</t>
  </si>
  <si>
    <t>本年地方政府债务(转贷)收入(预算数)</t>
  </si>
  <si>
    <t>本年地方政府债务还本支出(预算数)</t>
  </si>
  <si>
    <t>本年采用其他方式化解的债务本金(预算数)</t>
  </si>
  <si>
    <t>年末地方政府债务余额</t>
  </si>
  <si>
    <t>表二十一、三江县2026年政府性基金预算收入表</t>
  </si>
  <si>
    <r>
      <rPr>
        <b/>
        <sz val="14"/>
        <rFont val="宋体"/>
        <charset val="134"/>
      </rPr>
      <t>收</t>
    </r>
    <r>
      <rPr>
        <b/>
        <sz val="14"/>
        <rFont val="宋体"/>
        <charset val="134"/>
      </rPr>
      <t>入</t>
    </r>
  </si>
  <si>
    <r>
      <t>2025</t>
    </r>
    <r>
      <rPr>
        <b/>
        <sz val="10"/>
        <rFont val="宋体"/>
        <charset val="134"/>
      </rPr>
      <t>年决算（执行</t>
    </r>
    <r>
      <rPr>
        <b/>
        <sz val="10"/>
        <rFont val="Times New Roman"/>
        <family val="1"/>
        <charset val="0"/>
      </rPr>
      <t>)</t>
    </r>
    <r>
      <rPr>
        <b/>
        <sz val="10"/>
        <rFont val="宋体"/>
        <charset val="134"/>
      </rPr>
      <t>数</t>
    </r>
  </si>
  <si>
    <r>
      <t>2026</t>
    </r>
    <r>
      <rPr>
        <b/>
        <sz val="10"/>
        <rFont val="宋体"/>
        <charset val="134"/>
      </rPr>
      <t>年</t>
    </r>
    <r>
      <rPr>
        <b/>
        <sz val="10"/>
        <rFont val="Times New Roman"/>
        <family val="1"/>
        <charset val="0"/>
      </rPr>
      <t xml:space="preserve">
</t>
    </r>
    <r>
      <rPr>
        <b/>
        <sz val="10"/>
        <rFont val="宋体"/>
        <charset val="134"/>
      </rPr>
      <t>预算数</t>
    </r>
  </si>
  <si>
    <r>
      <t xml:space="preserve">  </t>
    </r>
    <r>
      <rPr>
        <sz val="10"/>
        <rFont val="宋体"/>
        <charset val="134"/>
      </rPr>
      <t>农网还贷资金收入</t>
    </r>
  </si>
  <si>
    <r>
      <t xml:space="preserve">  </t>
    </r>
    <r>
      <rPr>
        <sz val="10"/>
        <rFont val="宋体"/>
        <charset val="134"/>
      </rPr>
      <t>铁路建设基金收入</t>
    </r>
  </si>
  <si>
    <r>
      <t xml:space="preserve">  </t>
    </r>
    <r>
      <rPr>
        <sz val="10"/>
        <rFont val="宋体"/>
        <charset val="134"/>
      </rPr>
      <t>民航发展基金收入</t>
    </r>
  </si>
  <si>
    <r>
      <t xml:space="preserve">  </t>
    </r>
    <r>
      <rPr>
        <sz val="10"/>
        <rFont val="宋体"/>
        <charset val="134"/>
      </rPr>
      <t>海南省高等级公路车辆通行附加费收入</t>
    </r>
  </si>
  <si>
    <r>
      <t xml:space="preserve">  </t>
    </r>
    <r>
      <rPr>
        <sz val="10"/>
        <rFont val="宋体"/>
        <charset val="134"/>
      </rPr>
      <t>旅游发展基金收入</t>
    </r>
  </si>
  <si>
    <r>
      <t xml:space="preserve">  </t>
    </r>
    <r>
      <rPr>
        <sz val="10"/>
        <rFont val="宋体"/>
        <charset val="134"/>
      </rPr>
      <t>国家电影事业发展专项资金收入</t>
    </r>
  </si>
  <si>
    <r>
      <t xml:space="preserve">  </t>
    </r>
    <r>
      <rPr>
        <sz val="10"/>
        <rFont val="宋体"/>
        <charset val="134"/>
      </rPr>
      <t>国有土地收益基金收入</t>
    </r>
  </si>
  <si>
    <r>
      <t xml:space="preserve">  </t>
    </r>
    <r>
      <rPr>
        <sz val="10"/>
        <rFont val="宋体"/>
        <charset val="134"/>
      </rPr>
      <t>农业土地开发资金收入</t>
    </r>
  </si>
  <si>
    <r>
      <t xml:space="preserve">  </t>
    </r>
    <r>
      <rPr>
        <sz val="10"/>
        <rFont val="宋体"/>
        <charset val="134"/>
      </rPr>
      <t>国有土地使用权出让收入</t>
    </r>
  </si>
  <si>
    <r>
      <t xml:space="preserve">  </t>
    </r>
    <r>
      <rPr>
        <sz val="10"/>
        <rFont val="宋体"/>
        <charset val="134"/>
      </rPr>
      <t>大中型水库移民后期扶持基金收入</t>
    </r>
  </si>
  <si>
    <r>
      <t xml:space="preserve">  </t>
    </r>
    <r>
      <rPr>
        <sz val="10"/>
        <rFont val="宋体"/>
        <charset val="134"/>
      </rPr>
      <t>大中型水库库区基金收入</t>
    </r>
  </si>
  <si>
    <r>
      <t xml:space="preserve">  </t>
    </r>
    <r>
      <rPr>
        <sz val="10"/>
        <rFont val="宋体"/>
        <charset val="134"/>
      </rPr>
      <t>三峡水库库区基金收入</t>
    </r>
  </si>
  <si>
    <r>
      <t xml:space="preserve">  </t>
    </r>
    <r>
      <rPr>
        <sz val="10"/>
        <rFont val="宋体"/>
        <charset val="134"/>
      </rPr>
      <t>中央特别国债经营基金收入</t>
    </r>
  </si>
  <si>
    <r>
      <t xml:space="preserve">  </t>
    </r>
    <r>
      <rPr>
        <sz val="10"/>
        <rFont val="宋体"/>
        <charset val="134"/>
      </rPr>
      <t>中央特别国债经营基金财务收入</t>
    </r>
  </si>
  <si>
    <r>
      <t xml:space="preserve">  </t>
    </r>
    <r>
      <rPr>
        <sz val="10"/>
        <rFont val="宋体"/>
        <charset val="134"/>
      </rPr>
      <t>彩票公益金收入</t>
    </r>
  </si>
  <si>
    <r>
      <t xml:space="preserve">  </t>
    </r>
    <r>
      <rPr>
        <sz val="10"/>
        <rFont val="宋体"/>
        <charset val="134"/>
      </rPr>
      <t>城市基础设施配套费收入</t>
    </r>
  </si>
  <si>
    <r>
      <t xml:space="preserve">  </t>
    </r>
    <r>
      <rPr>
        <sz val="10"/>
        <rFont val="宋体"/>
        <charset val="134"/>
      </rPr>
      <t>小型水库移民扶助基金收入</t>
    </r>
  </si>
  <si>
    <r>
      <t xml:space="preserve">  </t>
    </r>
    <r>
      <rPr>
        <sz val="10"/>
        <rFont val="宋体"/>
        <charset val="134"/>
      </rPr>
      <t>国家重大水利工程建设基金收入</t>
    </r>
  </si>
  <si>
    <r>
      <t xml:space="preserve">  </t>
    </r>
    <r>
      <rPr>
        <sz val="10"/>
        <rFont val="宋体"/>
        <charset val="134"/>
      </rPr>
      <t>车辆通行费</t>
    </r>
  </si>
  <si>
    <r>
      <t xml:space="preserve">  </t>
    </r>
    <r>
      <rPr>
        <sz val="10"/>
        <rFont val="宋体"/>
        <charset val="134"/>
      </rPr>
      <t>核电站乏燃料处理处置基金收入</t>
    </r>
  </si>
  <si>
    <r>
      <t xml:space="preserve">  </t>
    </r>
    <r>
      <rPr>
        <sz val="10"/>
        <rFont val="宋体"/>
        <charset val="134"/>
      </rPr>
      <t>可再生能源电价附加收入</t>
    </r>
  </si>
  <si>
    <r>
      <t xml:space="preserve">  </t>
    </r>
    <r>
      <rPr>
        <sz val="10"/>
        <rFont val="宋体"/>
        <charset val="134"/>
      </rPr>
      <t>船舶油污损害赔偿基金收入</t>
    </r>
  </si>
  <si>
    <r>
      <t xml:space="preserve">  </t>
    </r>
    <r>
      <rPr>
        <sz val="10"/>
        <rFont val="宋体"/>
        <charset val="134"/>
      </rPr>
      <t>废弃电器电子产品处理基金收入</t>
    </r>
  </si>
  <si>
    <r>
      <t xml:space="preserve">  </t>
    </r>
    <r>
      <rPr>
        <sz val="10"/>
        <rFont val="宋体"/>
        <charset val="134"/>
      </rPr>
      <t>污水处理费收入</t>
    </r>
  </si>
  <si>
    <r>
      <t xml:space="preserve">  </t>
    </r>
    <r>
      <rPr>
        <sz val="10"/>
        <rFont val="宋体"/>
        <charset val="134"/>
      </rPr>
      <t>彩票发售机构和彩票销售机构的业务费用</t>
    </r>
  </si>
  <si>
    <r>
      <t xml:space="preserve">  </t>
    </r>
    <r>
      <rPr>
        <sz val="10"/>
        <rFont val="宋体"/>
        <charset val="134"/>
      </rPr>
      <t>抗疫特别国债财务基金收入</t>
    </r>
  </si>
  <si>
    <r>
      <t xml:space="preserve">  </t>
    </r>
    <r>
      <rPr>
        <sz val="10"/>
        <rFont val="宋体"/>
        <charset val="134"/>
      </rPr>
      <t>耕地保护考核奖惩基金收入</t>
    </r>
  </si>
  <si>
    <r>
      <t xml:space="preserve">  </t>
    </r>
    <r>
      <rPr>
        <sz val="10"/>
        <rFont val="宋体"/>
        <charset val="134"/>
      </rPr>
      <t>超长期特别国债财务基金收入</t>
    </r>
  </si>
  <si>
    <r>
      <t xml:space="preserve">  </t>
    </r>
    <r>
      <rPr>
        <sz val="10"/>
        <rFont val="宋体"/>
        <charset val="134"/>
      </rPr>
      <t>其他政府性基金收入</t>
    </r>
  </si>
  <si>
    <r>
      <t xml:space="preserve">  </t>
    </r>
    <r>
      <rPr>
        <sz val="10"/>
        <rFont val="宋体"/>
        <charset val="134"/>
      </rPr>
      <t>海南省高等级公路车辆通行附加费专项债务对应项目专项收入</t>
    </r>
  </si>
  <si>
    <r>
      <t xml:space="preserve">  </t>
    </r>
    <r>
      <rPr>
        <sz val="10"/>
        <rFont val="宋体"/>
        <charset val="134"/>
      </rPr>
      <t>国家电影事业发展专项资金专项债务对应项目专项收入</t>
    </r>
  </si>
  <si>
    <r>
      <t xml:space="preserve">  </t>
    </r>
    <r>
      <rPr>
        <sz val="10"/>
        <rFont val="宋体"/>
        <charset val="134"/>
      </rPr>
      <t>国有土地使用权出让金专项债务对应项目专项收入</t>
    </r>
  </si>
  <si>
    <r>
      <t xml:space="preserve">  </t>
    </r>
    <r>
      <rPr>
        <sz val="10"/>
        <rFont val="宋体"/>
        <charset val="134"/>
      </rPr>
      <t>农业土地开发资金专项债务对应项目专项收入</t>
    </r>
  </si>
  <si>
    <r>
      <t xml:space="preserve">  </t>
    </r>
    <r>
      <rPr>
        <sz val="10"/>
        <rFont val="宋体"/>
        <charset val="134"/>
      </rPr>
      <t>大中型水库库区基金专项债务对应项目专项收入</t>
    </r>
  </si>
  <si>
    <r>
      <t xml:space="preserve">  </t>
    </r>
    <r>
      <rPr>
        <sz val="10"/>
        <rFont val="宋体"/>
        <charset val="134"/>
      </rPr>
      <t>城市基础设施配套费专项债务对应项目专项收入</t>
    </r>
  </si>
  <si>
    <r>
      <t xml:space="preserve">  </t>
    </r>
    <r>
      <rPr>
        <sz val="10"/>
        <rFont val="宋体"/>
        <charset val="134"/>
      </rPr>
      <t>小型水库移民扶助基金专项债务对应项目专项收入</t>
    </r>
  </si>
  <si>
    <r>
      <t xml:space="preserve">  </t>
    </r>
    <r>
      <rPr>
        <sz val="10"/>
        <rFont val="宋体"/>
        <charset val="134"/>
      </rPr>
      <t>国家重大水利工程建设基金专项债务对应项目专项收入</t>
    </r>
  </si>
  <si>
    <r>
      <t xml:space="preserve">  </t>
    </r>
    <r>
      <rPr>
        <sz val="10"/>
        <rFont val="宋体"/>
        <charset val="134"/>
      </rPr>
      <t>车辆通行费专项债务对应项目专项收入</t>
    </r>
  </si>
  <si>
    <r>
      <t xml:space="preserve">  </t>
    </r>
    <r>
      <rPr>
        <sz val="10"/>
        <rFont val="宋体"/>
        <charset val="134"/>
      </rPr>
      <t>污水处理费专项债务对应项目专项收入</t>
    </r>
  </si>
  <si>
    <r>
      <t xml:space="preserve">  </t>
    </r>
    <r>
      <rPr>
        <sz val="10"/>
        <rFont val="宋体"/>
        <charset val="134"/>
      </rPr>
      <t>其他政府性基金专项债务对应项目专项收入</t>
    </r>
  </si>
  <si>
    <r>
      <rPr>
        <b/>
        <sz val="10"/>
        <rFont val="宋体"/>
        <charset val="134"/>
      </rPr>
      <t>收入合计</t>
    </r>
  </si>
  <si>
    <r>
      <t xml:space="preserve">  </t>
    </r>
    <r>
      <rPr>
        <sz val="10"/>
        <rFont val="宋体"/>
        <charset val="134"/>
      </rPr>
      <t>中央政府债务收入</t>
    </r>
  </si>
  <si>
    <r>
      <t xml:space="preserve">  </t>
    </r>
    <r>
      <rPr>
        <sz val="10"/>
        <rFont val="宋体"/>
        <charset val="134"/>
      </rPr>
      <t>地方政府债务收入</t>
    </r>
  </si>
  <si>
    <r>
      <rPr>
        <b/>
        <sz val="10"/>
        <rFont val="宋体"/>
        <charset val="134"/>
      </rPr>
      <t>收入总计</t>
    </r>
  </si>
  <si>
    <t>表二十二、三江县2026年政府性基金预算支出表</t>
  </si>
  <si>
    <r>
      <rPr>
        <b/>
        <sz val="14"/>
        <rFont val="宋体"/>
        <charset val="134"/>
      </rPr>
      <t>支</t>
    </r>
    <r>
      <rPr>
        <b/>
        <sz val="14"/>
        <rFont val="宋体"/>
        <charset val="134"/>
      </rPr>
      <t>出</t>
    </r>
  </si>
  <si>
    <r>
      <t xml:space="preserve">  </t>
    </r>
    <r>
      <rPr>
        <sz val="10"/>
        <rFont val="宋体"/>
        <charset val="134"/>
      </rPr>
      <t>政府性基金转移支付</t>
    </r>
  </si>
  <si>
    <r>
      <rPr>
        <b/>
        <sz val="10"/>
        <rFont val="宋体"/>
        <charset val="134"/>
      </rPr>
      <t>债务还本支出</t>
    </r>
  </si>
  <si>
    <t>表二十三、三江县2026年政府性基金预算收支表</t>
  </si>
  <si>
    <t>表二十四、三江县2026年本级政府性基金预算支出表</t>
  </si>
  <si>
    <r>
      <t>2025</t>
    </r>
    <r>
      <rPr>
        <sz val="10"/>
        <rFont val="宋体"/>
        <charset val="134"/>
      </rPr>
      <t>年决算（执行</t>
    </r>
    <r>
      <rPr>
        <sz val="10"/>
        <rFont val="Times New Roman"/>
        <family val="1"/>
        <charset val="0"/>
      </rPr>
      <t>)</t>
    </r>
    <r>
      <rPr>
        <sz val="10"/>
        <rFont val="宋体"/>
        <charset val="134"/>
      </rPr>
      <t>数</t>
    </r>
  </si>
  <si>
    <r>
      <t>2026</t>
    </r>
    <r>
      <rPr>
        <sz val="10"/>
        <rFont val="宋体"/>
        <charset val="134"/>
      </rPr>
      <t>年</t>
    </r>
    <r>
      <rPr>
        <sz val="10"/>
        <rFont val="Times New Roman"/>
        <family val="1"/>
        <charset val="0"/>
      </rPr>
      <t xml:space="preserve">
</t>
    </r>
    <r>
      <rPr>
        <sz val="10"/>
        <rFont val="宋体"/>
        <charset val="134"/>
      </rPr>
      <t>预算数</t>
    </r>
  </si>
  <si>
    <r>
      <t>预算数为决算（执行）数</t>
    </r>
    <r>
      <rPr>
        <sz val="10"/>
        <rFont val="Times New Roman"/>
        <family val="1"/>
        <charset val="0"/>
      </rPr>
      <t>%</t>
    </r>
  </si>
  <si>
    <t>一、教育支出</t>
  </si>
  <si>
    <t>二、科学技术支出</t>
  </si>
  <si>
    <t>三、文化旅游体育与传媒支出</t>
  </si>
  <si>
    <t>四、卫生健康支出</t>
  </si>
  <si>
    <t>五、节能环保支出</t>
  </si>
  <si>
    <t>六、城乡社区支出</t>
  </si>
  <si>
    <t>七、农林水支出</t>
  </si>
  <si>
    <t>八、交通运输支出</t>
  </si>
  <si>
    <t>九、资源勘探工业信息等支出</t>
  </si>
  <si>
    <t>十、金融支出</t>
  </si>
  <si>
    <t>十一、自然资源海洋气象等支出</t>
  </si>
  <si>
    <t>十二、住房保障支出</t>
  </si>
  <si>
    <t>十三、粮油物资储备支出</t>
  </si>
  <si>
    <t>十四、灾害防治及应急管理支出</t>
  </si>
  <si>
    <t>十五、其他支出</t>
  </si>
  <si>
    <t>十七、债务付息支出</t>
  </si>
  <si>
    <t>十八、债务发行费用支出</t>
  </si>
  <si>
    <t>十九、抗疫特别国债安排的支出</t>
  </si>
  <si>
    <t>转移性支出</t>
  </si>
  <si>
    <t>债务还本支出</t>
  </si>
  <si>
    <t>支出总计</t>
  </si>
  <si>
    <t>表二十五、三江县2026年政府性基金预算收支明细表</t>
  </si>
  <si>
    <t>表二十六、三江县2026年政府性基金预算转移支付表</t>
  </si>
  <si>
    <t>表二七、三江县2026年政府性基金预算支出资金来源情况表</t>
  </si>
  <si>
    <t>专项债务</t>
  </si>
  <si>
    <t>小计</t>
  </si>
  <si>
    <t>专项债券</t>
  </si>
  <si>
    <t>其他专项债务</t>
  </si>
  <si>
    <r>
      <rPr>
        <sz val="10"/>
        <rFont val="宋体"/>
        <charset val="134"/>
      </rPr>
      <t>本年地方政府债务(转贷)收入</t>
    </r>
    <r>
      <rPr>
        <sz val="10"/>
        <rFont val="宋体"/>
        <charset val="134"/>
      </rPr>
      <t>(</t>
    </r>
    <r>
      <rPr>
        <sz val="10"/>
        <rFont val="宋体"/>
        <charset val="134"/>
      </rPr>
      <t>预算数</t>
    </r>
    <r>
      <rPr>
        <sz val="10"/>
        <rFont val="宋体"/>
        <charset val="134"/>
      </rPr>
      <t>)</t>
    </r>
  </si>
  <si>
    <r>
      <rPr>
        <sz val="10"/>
        <rFont val="宋体"/>
        <charset val="134"/>
      </rPr>
      <t>本年地方政府债务还本支出</t>
    </r>
    <r>
      <rPr>
        <sz val="10"/>
        <rFont val="宋体"/>
        <charset val="134"/>
      </rPr>
      <t>(</t>
    </r>
    <r>
      <rPr>
        <sz val="10"/>
        <rFont val="宋体"/>
        <charset val="134"/>
      </rPr>
      <t>预算数</t>
    </r>
    <r>
      <rPr>
        <sz val="10"/>
        <rFont val="宋体"/>
        <charset val="134"/>
      </rPr>
      <t>)</t>
    </r>
  </si>
  <si>
    <t>本年采用其他方式化解的债务本金</t>
  </si>
  <si>
    <r>
      <t>表二十九、三江县</t>
    </r>
    <r>
      <rPr>
        <b/>
        <sz val="18"/>
        <rFont val="宋体"/>
        <charset val="134"/>
      </rPr>
      <t>2026</t>
    </r>
    <r>
      <rPr>
        <sz val="18"/>
        <rFont val="方正小标宋简体"/>
        <charset val="134"/>
      </rPr>
      <t xml:space="preserve">年社会保险基金预算情况    </t>
    </r>
  </si>
  <si>
    <t>单位 ：万元</t>
  </si>
  <si>
    <t>收   入</t>
  </si>
  <si>
    <t>支    出</t>
  </si>
  <si>
    <t>备注</t>
  </si>
  <si>
    <r>
      <t xml:space="preserve">        </t>
    </r>
    <r>
      <rPr>
        <b/>
        <sz val="11"/>
        <rFont val="宋体"/>
        <charset val="134"/>
      </rPr>
      <t>上年结余</t>
    </r>
  </si>
  <si>
    <r>
      <t xml:space="preserve">     </t>
    </r>
    <r>
      <rPr>
        <b/>
        <sz val="11"/>
        <rFont val="宋体"/>
        <charset val="134"/>
      </rPr>
      <t>年末结余</t>
    </r>
  </si>
  <si>
    <r>
      <t xml:space="preserve">         </t>
    </r>
    <r>
      <rPr>
        <sz val="11"/>
        <rFont val="宋体"/>
        <charset val="134"/>
      </rPr>
      <t>集体补助收入</t>
    </r>
  </si>
  <si>
    <r>
      <t xml:space="preserve">     </t>
    </r>
    <r>
      <rPr>
        <b/>
        <sz val="11"/>
        <rFont val="宋体"/>
        <charset val="134"/>
      </rPr>
      <t>上年结余</t>
    </r>
  </si>
  <si>
    <r>
      <t>表三十、三江县</t>
    </r>
    <r>
      <rPr>
        <b/>
        <sz val="18"/>
        <rFont val="方正小标宋简体"/>
        <charset val="134"/>
      </rPr>
      <t>2026年社会保险金预算收入表</t>
    </r>
  </si>
  <si>
    <r>
      <t>表三十一、三江县</t>
    </r>
    <r>
      <rPr>
        <b/>
        <sz val="18"/>
        <rFont val="方正小标宋简体"/>
        <charset val="134"/>
      </rPr>
      <t>2026年社会保险金预算支出表</t>
    </r>
  </si>
  <si>
    <t>科   目</t>
  </si>
  <si>
    <t>金  额</t>
  </si>
  <si>
    <t>2、机关事业基本养老基金收入</t>
  </si>
  <si>
    <t xml:space="preserve">   其中：机关事业保险费收入</t>
  </si>
  <si>
    <t xml:space="preserve">         基本养老财政补助收入</t>
  </si>
  <si>
    <t xml:space="preserve">         其他养老基金收入</t>
  </si>
  <si>
    <t xml:space="preserve">     上年结余</t>
  </si>
  <si>
    <t xml:space="preserve">   其中：城乡居民基本养老缴费收入</t>
  </si>
  <si>
    <t xml:space="preserve">         政府补贴收入</t>
  </si>
  <si>
    <t xml:space="preserve">         其他收入</t>
  </si>
  <si>
    <t>合     计</t>
  </si>
  <si>
    <t>表三十二、三江县2026年国有资本经营预算收支总表</t>
  </si>
  <si>
    <t>金额单位：万元</t>
  </si>
  <si>
    <r>
      <rPr>
        <sz val="10"/>
        <rFont val="宋体"/>
        <charset val="134"/>
      </rPr>
      <t>收</t>
    </r>
    <r>
      <rPr>
        <sz val="10"/>
        <rFont val="Times New Roman"/>
        <charset val="0"/>
      </rPr>
      <t xml:space="preserve">          </t>
    </r>
    <r>
      <rPr>
        <sz val="10"/>
        <rFont val="宋体"/>
        <charset val="134"/>
      </rPr>
      <t>入</t>
    </r>
  </si>
  <si>
    <r>
      <rPr>
        <sz val="10"/>
        <rFont val="宋体"/>
        <charset val="134"/>
      </rPr>
      <t>支</t>
    </r>
    <r>
      <rPr>
        <sz val="10"/>
        <rFont val="Times New Roman"/>
        <charset val="0"/>
      </rPr>
      <t xml:space="preserve">          </t>
    </r>
    <r>
      <rPr>
        <sz val="10"/>
        <rFont val="宋体"/>
        <charset val="134"/>
      </rPr>
      <t>出</t>
    </r>
  </si>
  <si>
    <r>
      <rPr>
        <sz val="10"/>
        <rFont val="宋体"/>
        <charset val="134"/>
      </rPr>
      <t>项</t>
    </r>
    <r>
      <rPr>
        <sz val="10"/>
        <rFont val="Times New Roman"/>
        <family val="1"/>
        <charset val="0"/>
      </rPr>
      <t xml:space="preserve">        </t>
    </r>
    <r>
      <rPr>
        <sz val="10"/>
        <rFont val="宋体"/>
        <charset val="134"/>
      </rPr>
      <t>目</t>
    </r>
  </si>
  <si>
    <r>
      <t>2025</t>
    </r>
    <r>
      <rPr>
        <sz val="10"/>
        <rFont val="宋体"/>
        <charset val="134"/>
      </rPr>
      <t>年执行数</t>
    </r>
  </si>
  <si>
    <r>
      <t>2026</t>
    </r>
    <r>
      <rPr>
        <sz val="10"/>
        <rFont val="宋体"/>
        <charset val="134"/>
      </rPr>
      <t>年预算数</t>
    </r>
  </si>
  <si>
    <r>
      <rPr>
        <sz val="10"/>
        <rFont val="宋体"/>
        <charset val="134"/>
      </rPr>
      <t>合计</t>
    </r>
  </si>
  <si>
    <r>
      <rPr>
        <sz val="10"/>
        <rFont val="宋体"/>
        <charset val="134"/>
      </rPr>
      <t>省本级</t>
    </r>
  </si>
  <si>
    <r>
      <rPr>
        <sz val="10"/>
        <rFont val="宋体"/>
        <charset val="134"/>
      </rPr>
      <t>市、县级</t>
    </r>
  </si>
  <si>
    <r>
      <rPr>
        <sz val="10"/>
        <rFont val="宋体"/>
        <charset val="134"/>
      </rPr>
      <t>栏次</t>
    </r>
  </si>
  <si>
    <t>表三十三、三江县2026年国有资本经营预算收支总表</t>
  </si>
  <si>
    <r>
      <rPr>
        <sz val="10"/>
        <rFont val="宋体"/>
        <charset val="134"/>
      </rPr>
      <t>项</t>
    </r>
    <r>
      <rPr>
        <sz val="10"/>
        <rFont val="Times New Roman"/>
        <charset val="0"/>
      </rPr>
      <t xml:space="preserve">        </t>
    </r>
    <r>
      <rPr>
        <sz val="10"/>
        <rFont val="宋体"/>
        <charset val="134"/>
      </rPr>
      <t>目</t>
    </r>
  </si>
  <si>
    <t>2023年执行数</t>
  </si>
  <si>
    <t>2024年预算数</t>
  </si>
  <si>
    <t>省本级</t>
  </si>
  <si>
    <t>市、县级</t>
  </si>
  <si>
    <t>栏次</t>
  </si>
  <si>
    <t>一、解决历史遗留问题及改革成本支出</t>
  </si>
  <si>
    <t>二、国有企业资本金注入</t>
  </si>
  <si>
    <t>三、国有企业政策性补贴</t>
  </si>
  <si>
    <t>四、金融国有资本经营预算支出</t>
  </si>
  <si>
    <t>五、其他国有资本经营预算支出</t>
  </si>
  <si>
    <t>支 出 合 计</t>
  </si>
  <si>
    <t>国有资本经营预算转移支付支出</t>
  </si>
  <si>
    <t>国有资本经营预算调出资金</t>
  </si>
  <si>
    <t>结转下年</t>
  </si>
  <si>
    <t>支 出 总 计</t>
  </si>
  <si>
    <t>表三十四、三江县2026年国有资本经营预算支出表</t>
  </si>
  <si>
    <t>一、利润收入</t>
  </si>
  <si>
    <t>二、股利、股息收入</t>
  </si>
  <si>
    <t>三、产权转让收入</t>
  </si>
  <si>
    <t>四、清算收入</t>
  </si>
  <si>
    <t>五、其他国有资本经营预算收入</t>
  </si>
  <si>
    <t>收 入 合 计</t>
  </si>
  <si>
    <t>国有资本经营预算转移支付收入</t>
  </si>
  <si>
    <t>上年结转</t>
  </si>
  <si>
    <t>收 入 总 计</t>
  </si>
  <si>
    <t>表三十五、三江县2026年本级国有资本经营预算支出表</t>
  </si>
  <si>
    <t>表三十六、三江县2026年“三公”经费预算情况表</t>
  </si>
  <si>
    <r>
      <rPr>
        <sz val="10"/>
        <rFont val="宋体"/>
        <charset val="134"/>
      </rPr>
      <t>与上年预算数同比</t>
    </r>
    <r>
      <rPr>
        <sz val="10"/>
        <rFont val="Times New Roman"/>
        <family val="1"/>
        <charset val="0"/>
      </rPr>
      <t>+-%</t>
    </r>
  </si>
  <si>
    <r>
      <rPr>
        <sz val="9"/>
        <rFont val="宋体"/>
        <charset val="134"/>
      </rPr>
      <t>根据桂财预〔</t>
    </r>
    <r>
      <rPr>
        <sz val="9"/>
        <rFont val="Times New Roman"/>
        <family val="1"/>
        <charset val="0"/>
      </rPr>
      <t>2023</t>
    </r>
    <r>
      <rPr>
        <sz val="9"/>
        <rFont val="宋体"/>
        <charset val="134"/>
      </rPr>
      <t>〕</t>
    </r>
    <r>
      <rPr>
        <sz val="9"/>
        <rFont val="Times New Roman"/>
        <family val="1"/>
        <charset val="0"/>
      </rPr>
      <t>137</t>
    </r>
    <r>
      <rPr>
        <sz val="9"/>
        <rFont val="宋体"/>
        <charset val="134"/>
      </rPr>
      <t>号、三财政〔</t>
    </r>
    <r>
      <rPr>
        <sz val="9"/>
        <rFont val="Times New Roman"/>
        <family val="1"/>
        <charset val="0"/>
      </rPr>
      <t>2023</t>
    </r>
    <r>
      <rPr>
        <sz val="9"/>
        <rFont val="宋体"/>
        <charset val="134"/>
      </rPr>
      <t>〕</t>
    </r>
    <r>
      <rPr>
        <sz val="9"/>
        <rFont val="Times New Roman"/>
        <family val="1"/>
        <charset val="0"/>
      </rPr>
      <t>339</t>
    </r>
    <r>
      <rPr>
        <sz val="9"/>
        <rFont val="宋体"/>
        <charset val="134"/>
      </rPr>
      <t>号文件要求：</t>
    </r>
    <r>
      <rPr>
        <sz val="9"/>
        <rFont val="Times New Roman"/>
        <family val="1"/>
        <charset val="0"/>
      </rPr>
      <t>“</t>
    </r>
    <r>
      <rPr>
        <sz val="9"/>
        <rFont val="宋体"/>
        <charset val="134"/>
      </rPr>
      <t>后续化债期间</t>
    </r>
    <r>
      <rPr>
        <sz val="9"/>
        <rFont val="Times New Roman"/>
        <family val="1"/>
        <charset val="0"/>
      </rPr>
      <t>“</t>
    </r>
    <r>
      <rPr>
        <sz val="9"/>
        <rFont val="宋体"/>
        <charset val="134"/>
      </rPr>
      <t>三公两费</t>
    </r>
    <r>
      <rPr>
        <sz val="9"/>
        <rFont val="Times New Roman"/>
        <family val="1"/>
        <charset val="0"/>
      </rPr>
      <t>”</t>
    </r>
    <r>
      <rPr>
        <sz val="9"/>
        <rFont val="宋体"/>
        <charset val="134"/>
      </rPr>
      <t>预算总额安排原则上不得超过</t>
    </r>
    <r>
      <rPr>
        <sz val="9"/>
        <rFont val="Times New Roman"/>
        <family val="1"/>
        <charset val="0"/>
      </rPr>
      <t>2024</t>
    </r>
    <r>
      <rPr>
        <sz val="9"/>
        <rFont val="宋体"/>
        <charset val="134"/>
      </rPr>
      <t>年预算安排总规模，今后年度压减预算开支将持续视情作出规定。</t>
    </r>
    <r>
      <rPr>
        <sz val="9"/>
        <rFont val="Times New Roman"/>
        <family val="1"/>
        <charset val="0"/>
      </rPr>
      <t>”</t>
    </r>
    <r>
      <rPr>
        <sz val="9"/>
        <rFont val="宋体"/>
        <charset val="134"/>
      </rPr>
      <t>，由于我县三公两费已持续压减多年，已无压减空间，在上级部门未做出明确压减规定前，使用财政资金安排的</t>
    </r>
    <r>
      <rPr>
        <sz val="9"/>
        <rFont val="Times New Roman"/>
        <family val="1"/>
        <charset val="0"/>
      </rPr>
      <t>“</t>
    </r>
    <r>
      <rPr>
        <sz val="9"/>
        <rFont val="宋体"/>
        <charset val="134"/>
      </rPr>
      <t>三公两费</t>
    </r>
    <r>
      <rPr>
        <sz val="9"/>
        <rFont val="Times New Roman"/>
        <family val="1"/>
        <charset val="0"/>
      </rPr>
      <t>”</t>
    </r>
    <r>
      <rPr>
        <sz val="9"/>
        <rFont val="宋体"/>
        <charset val="134"/>
      </rPr>
      <t>支出预算与上年保持一致。</t>
    </r>
  </si>
  <si>
    <t>机关事务局10部、四所合15部一共25部</t>
  </si>
  <si>
    <r>
      <rPr>
        <sz val="10"/>
        <rFont val="宋体"/>
        <charset val="134"/>
      </rPr>
      <t>因公出国经费</t>
    </r>
  </si>
  <si>
    <t>入户</t>
  </si>
  <si>
    <r>
      <rPr>
        <sz val="10"/>
        <rFont val="宋体"/>
        <charset val="134"/>
      </rPr>
      <t>公务接待费</t>
    </r>
  </si>
  <si>
    <t>公安局5车辆</t>
  </si>
  <si>
    <r>
      <rPr>
        <sz val="10"/>
        <rFont val="宋体"/>
        <charset val="134"/>
      </rPr>
      <t>公务用车购置费</t>
    </r>
  </si>
  <si>
    <r>
      <t>2025</t>
    </r>
    <r>
      <rPr>
        <sz val="9"/>
        <rFont val="宋体"/>
        <charset val="134"/>
      </rPr>
      <t>年公务车购置费用为纪委部门业务用车购置费用以及市场监管局上级资金安排购置费用；</t>
    </r>
    <r>
      <rPr>
        <sz val="9"/>
        <rFont val="Times New Roman"/>
        <family val="1"/>
        <charset val="0"/>
      </rPr>
      <t>2025</t>
    </r>
    <r>
      <rPr>
        <sz val="9"/>
        <rFont val="宋体"/>
        <charset val="134"/>
      </rPr>
      <t>年资产处置后</t>
    </r>
    <r>
      <rPr>
        <sz val="9"/>
        <rFont val="Times New Roman"/>
        <family val="1"/>
        <charset val="0"/>
      </rPr>
      <t>2026</t>
    </r>
    <r>
      <rPr>
        <sz val="9"/>
        <rFont val="宋体"/>
        <charset val="134"/>
      </rPr>
      <t>年计划采购</t>
    </r>
    <r>
      <rPr>
        <sz val="9"/>
        <rFont val="Times New Roman"/>
        <family val="1"/>
        <charset val="0"/>
      </rPr>
      <t>3</t>
    </r>
    <r>
      <rPr>
        <sz val="9"/>
        <rFont val="宋体"/>
        <charset val="134"/>
      </rPr>
      <t>部公务用车</t>
    </r>
  </si>
  <si>
    <t>物价局1辆</t>
  </si>
  <si>
    <r>
      <rPr>
        <sz val="10"/>
        <rFont val="宋体"/>
        <charset val="134"/>
      </rPr>
      <t>公务用车运行维护费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</si>
</sst>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_ "/>
    <numFmt numFmtId="179" formatCode="0.0_ "/>
    <numFmt numFmtId="180" formatCode="0.00_ "/>
    <numFmt numFmtId="181" formatCode="0.00_);[Red]\(0.00\)"/>
    <numFmt numFmtId="182" formatCode="_ * #,##0_ ;_ * \-#,##0_ ;_ * &quot;-&quot;??_ ;_ @_ "/>
  </numFmts>
  <fonts count="75">
    <font>
      <sz val="12"/>
      <name val="宋体"/>
      <charset val="134"/>
    </font>
    <font>
      <sz val="10"/>
      <name val="Arial"/>
      <charset val="0"/>
    </font>
    <font>
      <sz val="9"/>
      <name val="宋体"/>
      <charset val="134"/>
    </font>
    <font>
      <sz val="20"/>
      <name val="方正小标宋简体"/>
      <charset val="134"/>
    </font>
    <font>
      <sz val="10"/>
      <name val="宋体"/>
      <charset val="134"/>
    </font>
    <font>
      <sz val="10"/>
      <name val="Times New Roman"/>
      <family val="1"/>
      <charset val="0"/>
    </font>
    <font>
      <b/>
      <sz val="10"/>
      <name val="Times New Roman"/>
      <family val="1"/>
      <charset val="0"/>
    </font>
    <font>
      <sz val="9"/>
      <name val="Times New Roman"/>
      <family val="1"/>
      <charset val="0"/>
    </font>
    <font>
      <sz val="9"/>
      <color rgb="FFFF0000"/>
      <name val="宋体"/>
      <charset val="134"/>
    </font>
    <font>
      <sz val="16"/>
      <name val="黑体"/>
      <charset val="134"/>
    </font>
    <font>
      <sz val="11"/>
      <name val="宋体"/>
      <charset val="134"/>
    </font>
    <font>
      <b/>
      <sz val="10"/>
      <name val="宋体"/>
      <charset val="134"/>
    </font>
    <font>
      <sz val="12"/>
      <name val="Times New Roman"/>
      <charset val="134"/>
    </font>
    <font>
      <sz val="18"/>
      <name val="方正小标宋简体"/>
      <charset val="134"/>
    </font>
    <font>
      <b/>
      <sz val="12"/>
      <name val="宋体"/>
      <charset val="134"/>
    </font>
    <font>
      <b/>
      <sz val="12"/>
      <name val="Times New Roman"/>
      <family val="1"/>
      <charset val="0"/>
    </font>
    <font>
      <b/>
      <sz val="11"/>
      <name val="宋体"/>
      <charset val="134"/>
    </font>
    <font>
      <b/>
      <sz val="11"/>
      <name val="Times New Roman"/>
      <family val="1"/>
      <charset val="0"/>
    </font>
    <font>
      <sz val="11"/>
      <name val="Times New Roman"/>
      <family val="1"/>
      <charset val="0"/>
    </font>
    <font>
      <b/>
      <sz val="10"/>
      <name val="Arial"/>
      <charset val="0"/>
    </font>
    <font>
      <b/>
      <sz val="18"/>
      <name val="宋体"/>
      <charset val="134"/>
    </font>
    <font>
      <b/>
      <sz val="16"/>
      <name val="黑体"/>
      <charset val="134"/>
    </font>
    <font>
      <sz val="12"/>
      <name val="黑体"/>
      <charset val="134"/>
    </font>
    <font>
      <b/>
      <sz val="14"/>
      <name val="宋体"/>
      <charset val="134"/>
    </font>
    <font>
      <b/>
      <sz val="14"/>
      <name val="Times New Roman"/>
      <family val="1"/>
      <charset val="0"/>
    </font>
    <font>
      <b/>
      <sz val="9"/>
      <name val="Times New Roman"/>
      <family val="1"/>
      <charset val="0"/>
    </font>
    <font>
      <b/>
      <sz val="16"/>
      <name val="宋体"/>
      <charset val="134"/>
    </font>
    <font>
      <sz val="10"/>
      <name val="SimSun"/>
      <charset val="134"/>
    </font>
    <font>
      <sz val="10"/>
      <color indexed="10"/>
      <name val="宋体"/>
      <charset val="134"/>
    </font>
    <font>
      <sz val="10"/>
      <color rgb="FFFF0000"/>
      <name val="宋体"/>
      <charset val="134"/>
    </font>
    <font>
      <sz val="12"/>
      <name val="Times New Roman"/>
      <family val="1"/>
      <charset val="0"/>
    </font>
    <font>
      <b/>
      <sz val="16"/>
      <name val="黑体"/>
      <family val="1"/>
      <charset val="0"/>
    </font>
    <font>
      <b/>
      <sz val="16"/>
      <name val="Times New Roman"/>
      <family val="1"/>
      <charset val="0"/>
    </font>
    <font>
      <sz val="8"/>
      <name val="宋体"/>
      <charset val="134"/>
    </font>
    <font>
      <sz val="10"/>
      <color indexed="8"/>
      <name val="Times New Roman"/>
      <family val="1"/>
      <charset val="0"/>
    </font>
    <font>
      <sz val="10"/>
      <color indexed="8"/>
      <name val="宋体"/>
      <charset val="134"/>
    </font>
    <font>
      <sz val="8"/>
      <color rgb="FFFF0000"/>
      <name val="宋体"/>
      <charset val="134"/>
    </font>
    <font>
      <sz val="11"/>
      <color indexed="10"/>
      <name val="宋体"/>
      <charset val="134"/>
    </font>
    <font>
      <sz val="9"/>
      <color indexed="8"/>
      <name val="Times New Roman"/>
      <family val="1"/>
      <charset val="0"/>
    </font>
    <font>
      <b/>
      <sz val="20"/>
      <name val="Times New Roman"/>
      <family val="1"/>
      <charset val="0"/>
    </font>
    <font>
      <sz val="9"/>
      <name val="Arial"/>
      <charset val="0"/>
    </font>
    <font>
      <b/>
      <sz val="18"/>
      <name val="Times New Roman"/>
      <family val="1"/>
      <charset val="0"/>
    </font>
    <font>
      <b/>
      <sz val="12"/>
      <name val="Times New Roman"/>
      <charset val="134"/>
    </font>
    <font>
      <sz val="10"/>
      <name val="Arial"/>
      <family val="2"/>
      <charset val="0"/>
    </font>
    <font>
      <sz val="9"/>
      <name val="Arial"/>
      <family val="2"/>
      <charset val="0"/>
    </font>
    <font>
      <sz val="9"/>
      <color rgb="FFFF0000"/>
      <name val="Times New Roman"/>
      <family val="1"/>
      <charset val="0"/>
    </font>
    <font>
      <b/>
      <sz val="9"/>
      <name val="宋体"/>
      <charset val="134"/>
    </font>
    <font>
      <sz val="11"/>
      <color indexed="8"/>
      <name val="宋体"/>
      <charset val="134"/>
    </font>
    <font>
      <b/>
      <sz val="18"/>
      <color indexed="8"/>
      <name val="宋体"/>
      <charset val="134"/>
    </font>
    <font>
      <sz val="11"/>
      <color indexed="8"/>
      <name val="黑体"/>
      <charset val="134"/>
    </font>
    <font>
      <u/>
      <sz val="12"/>
      <color indexed="12"/>
      <name val="宋体"/>
      <charset val="134"/>
    </font>
    <font>
      <u/>
      <sz val="12"/>
      <color indexed="36"/>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b/>
      <sz val="10"/>
      <name val="SimSun"/>
      <charset val="134"/>
    </font>
    <font>
      <b/>
      <sz val="16"/>
      <name val="黑体"/>
      <family val="3"/>
      <charset val="134"/>
    </font>
    <font>
      <b/>
      <sz val="9"/>
      <name val="SimSun"/>
      <charset val="134"/>
    </font>
    <font>
      <sz val="10"/>
      <name val="Times New Roman"/>
      <charset val="0"/>
    </font>
    <font>
      <b/>
      <sz val="18"/>
      <name val="方正小标宋简体"/>
      <charset val="134"/>
    </font>
    <font>
      <sz val="9"/>
      <color indexed="10"/>
      <name val="宋体"/>
      <charset val="134"/>
    </font>
    <font>
      <sz val="9"/>
      <color indexed="8"/>
      <name val="宋体"/>
      <charset val="134"/>
    </font>
    <font>
      <b/>
      <sz val="20"/>
      <name val="方正小标宋简体"/>
      <family val="4"/>
      <charset val="134"/>
    </font>
  </fonts>
  <fills count="3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8" tint="0.799981688894314"/>
        <bgColor indexed="64"/>
      </patternFill>
    </fill>
    <fill>
      <patternFill patternType="solid">
        <fgColor indexed="9"/>
        <bgColor indexed="64"/>
      </patternFill>
    </fill>
    <fill>
      <patternFill patternType="solid">
        <fgColor theme="0"/>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FF00"/>
        <bgColor indexed="64"/>
      </patternFill>
    </fill>
    <fill>
      <patternFill patternType="mediumGray">
        <fgColor indexed="9"/>
      </patternFill>
    </fill>
    <fill>
      <patternFill patternType="solid">
        <fgColor theme="9" tint="0.599993896298105"/>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medium">
        <color indexed="8"/>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indexed="8"/>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bottom style="thin">
        <color auto="1"/>
      </bottom>
      <diagonal/>
    </border>
    <border>
      <left style="thin">
        <color auto="1"/>
      </left>
      <right style="medium">
        <color indexed="8"/>
      </right>
      <top style="medium">
        <color auto="1"/>
      </top>
      <bottom style="thin">
        <color auto="1"/>
      </bottom>
      <diagonal/>
    </border>
    <border>
      <left style="thin">
        <color auto="1"/>
      </left>
      <right style="medium">
        <color indexed="8"/>
      </right>
      <top style="thin">
        <color auto="1"/>
      </top>
      <bottom style="thin">
        <color auto="1"/>
      </bottom>
      <diagonal/>
    </border>
    <border>
      <left style="thin">
        <color auto="1"/>
      </left>
      <right style="medium">
        <color indexed="8"/>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0" fillId="14" borderId="45" applyNumberFormat="0" applyFont="0" applyAlignment="0" applyProtection="0">
      <alignment vertical="center"/>
    </xf>
    <xf numFmtId="0" fontId="3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46" applyNumberFormat="0" applyFill="0" applyAlignment="0" applyProtection="0">
      <alignment vertical="center"/>
    </xf>
    <xf numFmtId="0" fontId="55" fillId="0" borderId="47" applyNumberFormat="0" applyFill="0" applyAlignment="0" applyProtection="0">
      <alignment vertical="center"/>
    </xf>
    <xf numFmtId="0" fontId="56" fillId="0" borderId="48" applyNumberFormat="0" applyFill="0" applyAlignment="0" applyProtection="0">
      <alignment vertical="center"/>
    </xf>
    <xf numFmtId="0" fontId="56" fillId="0" borderId="0" applyNumberFormat="0" applyFill="0" applyBorder="0" applyAlignment="0" applyProtection="0">
      <alignment vertical="center"/>
    </xf>
    <xf numFmtId="0" fontId="57" fillId="15" borderId="49" applyNumberFormat="0" applyAlignment="0" applyProtection="0">
      <alignment vertical="center"/>
    </xf>
    <xf numFmtId="0" fontId="58" fillId="16" borderId="50" applyNumberFormat="0" applyAlignment="0" applyProtection="0">
      <alignment vertical="center"/>
    </xf>
    <xf numFmtId="0" fontId="59" fillId="16" borderId="49" applyNumberFormat="0" applyAlignment="0" applyProtection="0">
      <alignment vertical="center"/>
    </xf>
    <xf numFmtId="0" fontId="60" fillId="17" borderId="51" applyNumberFormat="0" applyAlignment="0" applyProtection="0">
      <alignment vertical="center"/>
    </xf>
    <xf numFmtId="0" fontId="61" fillId="0" borderId="52" applyNumberFormat="0" applyFill="0" applyAlignment="0" applyProtection="0">
      <alignment vertical="center"/>
    </xf>
    <xf numFmtId="0" fontId="62" fillId="0" borderId="53" applyNumberFormat="0" applyFill="0" applyAlignment="0" applyProtection="0">
      <alignment vertical="center"/>
    </xf>
    <xf numFmtId="0" fontId="63"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47" fillId="19" borderId="0" applyNumberFormat="0" applyBorder="0" applyAlignment="0" applyProtection="0">
      <alignment vertical="center"/>
    </xf>
    <xf numFmtId="0" fontId="47" fillId="26"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47" fillId="18" borderId="0" applyNumberFormat="0" applyBorder="0" applyAlignment="0" applyProtection="0">
      <alignment vertical="center"/>
    </xf>
    <xf numFmtId="0" fontId="47" fillId="28" borderId="0" applyNumberFormat="0" applyBorder="0" applyAlignment="0" applyProtection="0">
      <alignment vertical="center"/>
    </xf>
    <xf numFmtId="0" fontId="66" fillId="28" borderId="0" applyNumberFormat="0" applyBorder="0" applyAlignment="0" applyProtection="0">
      <alignment vertical="center"/>
    </xf>
    <xf numFmtId="0" fontId="66" fillId="29" borderId="0" applyNumberFormat="0" applyBorder="0" applyAlignment="0" applyProtection="0">
      <alignment vertical="center"/>
    </xf>
    <xf numFmtId="0" fontId="47" fillId="30" borderId="0" applyNumberFormat="0" applyBorder="0" applyAlignment="0" applyProtection="0">
      <alignment vertical="center"/>
    </xf>
    <xf numFmtId="0" fontId="47" fillId="30" borderId="0" applyNumberFormat="0" applyBorder="0" applyAlignment="0" applyProtection="0">
      <alignment vertical="center"/>
    </xf>
    <xf numFmtId="0" fontId="66" fillId="29" borderId="0" applyNumberFormat="0" applyBorder="0" applyAlignment="0" applyProtection="0">
      <alignment vertical="center"/>
    </xf>
    <xf numFmtId="0" fontId="66" fillId="31" borderId="0" applyNumberFormat="0" applyBorder="0" applyAlignment="0" applyProtection="0">
      <alignment vertical="center"/>
    </xf>
    <xf numFmtId="0" fontId="47" fillId="32" borderId="0" applyNumberFormat="0" applyBorder="0" applyAlignment="0" applyProtection="0">
      <alignment vertical="center"/>
    </xf>
    <xf numFmtId="0" fontId="47" fillId="23" borderId="0" applyNumberFormat="0" applyBorder="0" applyAlignment="0" applyProtection="0">
      <alignment vertical="center"/>
    </xf>
    <xf numFmtId="0" fontId="66" fillId="31" borderId="0" applyNumberFormat="0" applyBorder="0" applyAlignment="0" applyProtection="0">
      <alignment vertical="center"/>
    </xf>
    <xf numFmtId="0" fontId="66" fillId="33" borderId="0" applyNumberFormat="0" applyBorder="0" applyAlignment="0" applyProtection="0">
      <alignment vertical="center"/>
    </xf>
    <xf numFmtId="0" fontId="47" fillId="15" borderId="0" applyNumberFormat="0" applyBorder="0" applyAlignment="0" applyProtection="0">
      <alignment vertical="center"/>
    </xf>
    <xf numFmtId="0" fontId="47" fillId="34" borderId="0" applyNumberFormat="0" applyBorder="0" applyAlignment="0" applyProtection="0">
      <alignment vertical="center"/>
    </xf>
    <xf numFmtId="0" fontId="66" fillId="35"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cellStyleXfs>
  <cellXfs count="643">
    <xf numFmtId="0" fontId="0" fillId="0" borderId="0" xfId="0" applyAlignment="1">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righ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0" fontId="5" fillId="0" borderId="2" xfId="3" applyNumberFormat="1" applyFont="1" applyFill="1" applyBorder="1" applyAlignment="1">
      <alignment horizontal="right" vertical="center" wrapText="1"/>
    </xf>
    <xf numFmtId="0" fontId="6" fillId="0" borderId="2" xfId="0" applyFont="1" applyFill="1" applyBorder="1" applyAlignment="1">
      <alignment horizontal="right" vertical="center" wrapText="1"/>
    </xf>
    <xf numFmtId="9" fontId="5" fillId="0" borderId="2" xfId="3" applyNumberFormat="1" applyFont="1" applyFill="1" applyBorder="1" applyAlignment="1">
      <alignment horizontal="right"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0" xfId="0" applyFont="1" applyFill="1" applyBorder="1" applyAlignment="1"/>
    <xf numFmtId="0" fontId="2" fillId="0" borderId="0" xfId="0" applyFont="1" applyFill="1" applyBorder="1" applyAlignment="1">
      <alignment horizontal="left"/>
    </xf>
    <xf numFmtId="0" fontId="0" fillId="0" borderId="0" xfId="0"/>
    <xf numFmtId="0" fontId="9" fillId="0" borderId="0" xfId="0" applyFont="1" applyAlignment="1">
      <alignment horizontal="center" vertical="center"/>
    </xf>
    <xf numFmtId="0" fontId="10" fillId="0" borderId="0" xfId="0"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2" xfId="0" applyFont="1" applyBorder="1"/>
    <xf numFmtId="0" fontId="11" fillId="0" borderId="2" xfId="0" applyFont="1" applyBorder="1" applyAlignment="1">
      <alignment horizontal="center" vertical="center"/>
    </xf>
    <xf numFmtId="0" fontId="0" fillId="0" borderId="2" xfId="0" applyBorder="1"/>
    <xf numFmtId="0" fontId="5" fillId="0" borderId="2" xfId="0" applyFont="1" applyFill="1" applyBorder="1" applyAlignment="1">
      <alignment horizontal="center" vertical="center"/>
    </xf>
    <xf numFmtId="0" fontId="5" fillId="0" borderId="2" xfId="0" applyFont="1" applyFill="1" applyBorder="1" applyAlignment="1">
      <alignment vertical="center"/>
    </xf>
    <xf numFmtId="0" fontId="6" fillId="0" borderId="2"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center" vertical="center"/>
    </xf>
    <xf numFmtId="0" fontId="0" fillId="0" borderId="0" xfId="0" applyFill="1" applyBorder="1" applyAlignment="1"/>
    <xf numFmtId="0" fontId="10" fillId="0" borderId="0" xfId="0" applyFont="1" applyAlignment="1">
      <alignment horizontal="right" vertical="center"/>
    </xf>
    <xf numFmtId="0" fontId="5" fillId="0" borderId="2" xfId="0" applyFont="1" applyFill="1" applyBorder="1" applyAlignment="1"/>
    <xf numFmtId="0" fontId="12" fillId="0" borderId="2" xfId="0" applyFont="1" applyFill="1" applyBorder="1" applyAlignment="1"/>
    <xf numFmtId="0" fontId="4" fillId="0" borderId="2" xfId="0" applyFont="1" applyBorder="1" applyAlignment="1">
      <alignment vertical="center" wrapText="1"/>
    </xf>
    <xf numFmtId="0" fontId="0" fillId="0" borderId="0" xfId="0"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0" fillId="0" borderId="0" xfId="0" applyFont="1" applyFill="1" applyAlignment="1"/>
    <xf numFmtId="0" fontId="10" fillId="0" borderId="0" xfId="0" applyFont="1" applyFill="1" applyAlignment="1"/>
    <xf numFmtId="43" fontId="0" fillId="0" borderId="0" xfId="0" applyNumberFormat="1" applyFont="1" applyFill="1" applyAlignment="1"/>
    <xf numFmtId="0" fontId="1" fillId="0" borderId="0" xfId="0" applyFont="1" applyFill="1" applyAlignment="1"/>
    <xf numFmtId="0" fontId="13" fillId="0" borderId="0" xfId="0" applyFont="1" applyFill="1" applyAlignment="1">
      <alignment horizontal="center" vertical="center"/>
    </xf>
    <xf numFmtId="0" fontId="0" fillId="0" borderId="0" xfId="0" applyFont="1" applyFill="1" applyAlignment="1">
      <alignment horizontal="left" vertical="center"/>
    </xf>
    <xf numFmtId="43" fontId="4" fillId="0" borderId="0" xfId="0" applyNumberFormat="1" applyFont="1" applyFill="1" applyAlignment="1">
      <alignment horizontal="center" vertical="center"/>
    </xf>
    <xf numFmtId="0" fontId="0" fillId="0" borderId="0" xfId="0" applyNumberFormat="1" applyFont="1" applyFill="1" applyAlignment="1">
      <alignment horizontal="right"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13" xfId="0" applyFont="1" applyFill="1" applyBorder="1" applyAlignment="1">
      <alignment horizontal="left" vertical="center"/>
    </xf>
    <xf numFmtId="176" fontId="16" fillId="0" borderId="2" xfId="1" applyNumberFormat="1" applyFont="1" applyFill="1" applyBorder="1" applyAlignment="1">
      <alignment vertical="center"/>
    </xf>
    <xf numFmtId="0" fontId="17" fillId="0" borderId="14" xfId="0" applyFont="1" applyFill="1" applyBorder="1" applyAlignment="1">
      <alignment horizontal="left" vertical="center"/>
    </xf>
    <xf numFmtId="176" fontId="17" fillId="0" borderId="2" xfId="1" applyNumberFormat="1" applyFont="1" applyFill="1" applyBorder="1" applyAlignment="1">
      <alignment vertical="center"/>
    </xf>
    <xf numFmtId="0" fontId="10" fillId="0" borderId="12" xfId="0" applyFont="1" applyFill="1" applyBorder="1" applyAlignment="1">
      <alignment horizontal="left" vertical="center"/>
    </xf>
    <xf numFmtId="176" fontId="10" fillId="0" borderId="2" xfId="1" applyNumberFormat="1" applyFont="1" applyFill="1" applyBorder="1" applyAlignment="1">
      <alignment horizontal="right" vertical="center"/>
    </xf>
    <xf numFmtId="0" fontId="18" fillId="0" borderId="2" xfId="0" applyFont="1" applyFill="1" applyBorder="1" applyAlignment="1">
      <alignment horizontal="left" vertical="center"/>
    </xf>
    <xf numFmtId="176" fontId="18" fillId="0" borderId="2" xfId="1" applyNumberFormat="1" applyFont="1" applyFill="1" applyBorder="1" applyAlignment="1">
      <alignment vertical="center"/>
    </xf>
    <xf numFmtId="176" fontId="10" fillId="0" borderId="2" xfId="1" applyNumberFormat="1" applyFont="1" applyFill="1" applyBorder="1" applyAlignment="1">
      <alignment vertical="center"/>
    </xf>
    <xf numFmtId="177" fontId="10" fillId="0" borderId="2" xfId="1" applyNumberFormat="1" applyFont="1" applyFill="1" applyBorder="1" applyAlignment="1">
      <alignment vertical="center"/>
    </xf>
    <xf numFmtId="177" fontId="18" fillId="0" borderId="2" xfId="1" applyNumberFormat="1" applyFont="1" applyFill="1" applyBorder="1" applyAlignment="1">
      <alignment vertical="center"/>
    </xf>
    <xf numFmtId="0" fontId="17" fillId="0" borderId="2" xfId="0" applyFont="1" applyFill="1" applyBorder="1" applyAlignment="1">
      <alignment horizontal="left" vertical="center"/>
    </xf>
    <xf numFmtId="178" fontId="16" fillId="0" borderId="15" xfId="0" applyNumberFormat="1" applyFont="1" applyFill="1" applyBorder="1" applyAlignment="1">
      <alignment horizontal="center" vertical="center"/>
    </xf>
    <xf numFmtId="176" fontId="16" fillId="0" borderId="16" xfId="1" applyNumberFormat="1" applyFont="1" applyFill="1" applyBorder="1" applyAlignment="1">
      <alignment vertical="center"/>
    </xf>
    <xf numFmtId="178" fontId="17" fillId="0" borderId="17" xfId="0" applyNumberFormat="1" applyFont="1" applyFill="1" applyBorder="1" applyAlignment="1">
      <alignment horizontal="center" vertical="center"/>
    </xf>
    <xf numFmtId="176" fontId="17" fillId="0" borderId="17" xfId="1" applyNumberFormat="1" applyFont="1" applyFill="1" applyBorder="1" applyAlignment="1">
      <alignment vertical="center"/>
    </xf>
    <xf numFmtId="43" fontId="0" fillId="0" borderId="0" xfId="0" applyNumberFormat="1" applyFont="1" applyFill="1" applyBorder="1" applyAlignment="1"/>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xf numFmtId="0" fontId="10" fillId="0" borderId="20" xfId="0" applyFont="1" applyFill="1" applyBorder="1" applyAlignment="1"/>
    <xf numFmtId="0" fontId="0" fillId="0" borderId="2" xfId="0" applyFont="1" applyFill="1" applyBorder="1" applyAlignment="1"/>
    <xf numFmtId="0" fontId="0" fillId="0" borderId="0" xfId="0" applyFont="1" applyFill="1" applyBorder="1" applyAlignment="1"/>
    <xf numFmtId="0" fontId="0" fillId="0" borderId="0" xfId="0" applyNumberFormat="1" applyFont="1" applyFill="1" applyAlignment="1"/>
    <xf numFmtId="43" fontId="4" fillId="0" borderId="0" xfId="0" applyNumberFormat="1" applyFont="1" applyFill="1" applyAlignment="1">
      <alignment horizontal="right" vertical="center"/>
    </xf>
    <xf numFmtId="0" fontId="15" fillId="0" borderId="12" xfId="0" applyFont="1" applyFill="1" applyBorder="1" applyAlignment="1">
      <alignment horizontal="center" vertical="center"/>
    </xf>
    <xf numFmtId="0" fontId="17" fillId="0" borderId="13" xfId="0" applyFont="1" applyFill="1" applyBorder="1" applyAlignment="1">
      <alignment horizontal="left" vertical="center"/>
    </xf>
    <xf numFmtId="0" fontId="18" fillId="0" borderId="12" xfId="0" applyFont="1" applyFill="1" applyBorder="1" applyAlignment="1">
      <alignment horizontal="left" vertical="center"/>
    </xf>
    <xf numFmtId="176" fontId="18" fillId="0" borderId="2" xfId="1" applyNumberFormat="1" applyFont="1" applyFill="1" applyBorder="1" applyAlignment="1">
      <alignment horizontal="right" vertical="center"/>
    </xf>
    <xf numFmtId="0" fontId="17" fillId="0" borderId="12" xfId="0" applyFont="1" applyFill="1" applyBorder="1" applyAlignment="1">
      <alignment horizontal="left" vertical="center"/>
    </xf>
    <xf numFmtId="178" fontId="17" fillId="0" borderId="21" xfId="0" applyNumberFormat="1" applyFont="1" applyFill="1" applyBorder="1" applyAlignment="1">
      <alignment horizontal="center" vertical="center"/>
    </xf>
    <xf numFmtId="0" fontId="16" fillId="0" borderId="0" xfId="0" applyFont="1" applyFill="1" applyAlignment="1"/>
    <xf numFmtId="0" fontId="4" fillId="0" borderId="0" xfId="0" applyNumberFormat="1" applyFont="1" applyFill="1" applyAlignment="1">
      <alignment horizontal="right" vertical="center"/>
    </xf>
    <xf numFmtId="0" fontId="14" fillId="0" borderId="0" xfId="0" applyFont="1" applyFill="1" applyAlignment="1"/>
    <xf numFmtId="0" fontId="0" fillId="0" borderId="2" xfId="0" applyFont="1" applyFill="1" applyBorder="1" applyAlignment="1"/>
    <xf numFmtId="0" fontId="19" fillId="0" borderId="0" xfId="0" applyFont="1" applyFill="1" applyAlignment="1"/>
    <xf numFmtId="0" fontId="0" fillId="0" borderId="0" xfId="0" applyFill="1"/>
    <xf numFmtId="0" fontId="4" fillId="0" borderId="0" xfId="0" applyFont="1" applyFill="1" applyAlignment="1">
      <alignment vertical="center"/>
    </xf>
    <xf numFmtId="0" fontId="11" fillId="0" borderId="0" xfId="0" applyFont="1" applyFill="1" applyAlignment="1">
      <alignment vertical="center"/>
    </xf>
    <xf numFmtId="0" fontId="20"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4" fillId="0" borderId="1" xfId="0" applyNumberFormat="1" applyFont="1" applyFill="1" applyBorder="1" applyAlignment="1" applyProtection="1">
      <alignment vertical="center"/>
    </xf>
    <xf numFmtId="0" fontId="11" fillId="0" borderId="2"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vertical="center"/>
    </xf>
    <xf numFmtId="3" fontId="4" fillId="2" borderId="22" xfId="0" applyNumberFormat="1" applyFont="1" applyFill="1" applyBorder="1" applyAlignment="1">
      <alignment horizontal="right" vertical="center"/>
    </xf>
    <xf numFmtId="0" fontId="4" fillId="0" borderId="2" xfId="0" applyNumberFormat="1" applyFont="1" applyFill="1" applyBorder="1" applyAlignment="1" applyProtection="1">
      <alignment horizontal="left" vertical="center"/>
    </xf>
    <xf numFmtId="3" fontId="4" fillId="3" borderId="22" xfId="0" applyNumberFormat="1" applyFont="1" applyFill="1" applyBorder="1" applyAlignment="1">
      <alignment horizontal="right" vertical="center"/>
    </xf>
    <xf numFmtId="0" fontId="0" fillId="0" borderId="0" xfId="0" applyFont="1" applyFill="1"/>
    <xf numFmtId="0" fontId="4" fillId="0" borderId="0" xfId="0" applyFont="1" applyFill="1"/>
    <xf numFmtId="0" fontId="14" fillId="0" borderId="0" xfId="0" applyFont="1" applyFill="1"/>
    <xf numFmtId="0" fontId="21" fillId="0" borderId="0" xfId="0" applyFont="1" applyFill="1" applyAlignment="1">
      <alignment horizontal="center" vertical="center"/>
    </xf>
    <xf numFmtId="0" fontId="22" fillId="0" borderId="0" xfId="0" applyFont="1" applyFill="1"/>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center" wrapText="1"/>
    </xf>
    <xf numFmtId="0" fontId="5" fillId="0" borderId="7" xfId="0" applyFont="1" applyFill="1" applyBorder="1" applyAlignment="1">
      <alignment horizontal="center" wrapText="1"/>
    </xf>
    <xf numFmtId="0" fontId="6" fillId="4" borderId="2" xfId="0" applyFont="1" applyFill="1" applyBorder="1" applyAlignment="1">
      <alignment vertical="center" shrinkToFit="1"/>
    </xf>
    <xf numFmtId="0" fontId="6" fillId="4" borderId="2" xfId="0" applyFont="1" applyFill="1" applyBorder="1" applyAlignment="1">
      <alignment vertical="center"/>
    </xf>
    <xf numFmtId="0" fontId="5" fillId="0" borderId="2" xfId="0" applyFont="1" applyFill="1" applyBorder="1" applyAlignment="1">
      <alignment vertical="center" shrinkToFit="1"/>
    </xf>
    <xf numFmtId="3" fontId="5" fillId="0" borderId="2" xfId="0" applyNumberFormat="1" applyFont="1" applyFill="1" applyBorder="1" applyAlignment="1" applyProtection="1">
      <alignment horizontal="left" vertical="center" shrinkToFit="1"/>
    </xf>
    <xf numFmtId="0" fontId="5" fillId="0" borderId="2" xfId="0" applyFont="1" applyFill="1" applyBorder="1" applyAlignment="1">
      <alignment horizontal="left" vertical="center" shrinkToFit="1"/>
    </xf>
    <xf numFmtId="0" fontId="0" fillId="0" borderId="0" xfId="0" applyFont="1" applyFill="1" applyAlignment="1">
      <alignment horizontal="right"/>
    </xf>
    <xf numFmtId="0" fontId="6"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7" xfId="0" applyFont="1" applyFill="1" applyBorder="1" applyAlignment="1">
      <alignment horizontal="center" vertical="center" wrapText="1"/>
    </xf>
    <xf numFmtId="3" fontId="5" fillId="0" borderId="2" xfId="0" applyNumberFormat="1" applyFont="1" applyFill="1" applyBorder="1" applyAlignment="1" applyProtection="1">
      <alignment horizontal="left" vertical="center"/>
    </xf>
    <xf numFmtId="0" fontId="6" fillId="0" borderId="2" xfId="0" applyFont="1" applyFill="1" applyBorder="1" applyAlignment="1">
      <alignment horizontal="distributed" vertical="center"/>
    </xf>
    <xf numFmtId="0" fontId="6" fillId="0" borderId="2" xfId="0" applyFont="1" applyFill="1" applyBorder="1" applyAlignment="1">
      <alignment vertical="center"/>
    </xf>
    <xf numFmtId="0" fontId="0" fillId="0" borderId="0" xfId="0" applyFont="1" applyFill="1" applyAlignment="1">
      <alignment vertical="center"/>
    </xf>
    <xf numFmtId="0" fontId="4" fillId="5" borderId="0" xfId="0" applyFont="1" applyFill="1" applyAlignment="1">
      <alignment vertical="center"/>
    </xf>
    <xf numFmtId="10" fontId="0" fillId="0" borderId="0" xfId="0" applyNumberFormat="1" applyFont="1" applyFill="1" applyAlignment="1">
      <alignment vertical="center"/>
    </xf>
    <xf numFmtId="0" fontId="22" fillId="0" borderId="0" xfId="0" applyFont="1" applyFill="1" applyAlignment="1">
      <alignment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26" xfId="0" applyFont="1" applyFill="1" applyBorder="1" applyAlignment="1">
      <alignment horizontal="center" vertical="center"/>
    </xf>
    <xf numFmtId="0" fontId="6" fillId="0" borderId="2" xfId="0" applyFont="1" applyFill="1" applyBorder="1" applyAlignment="1">
      <alignment horizontal="center" vertical="center" wrapText="1"/>
    </xf>
    <xf numFmtId="3" fontId="6" fillId="4" borderId="2" xfId="0" applyNumberFormat="1" applyFont="1" applyFill="1" applyBorder="1" applyAlignment="1" applyProtection="1">
      <alignment vertical="center" shrinkToFit="1"/>
    </xf>
    <xf numFmtId="0" fontId="5" fillId="4" borderId="2" xfId="0" applyFont="1" applyFill="1" applyBorder="1" applyAlignment="1">
      <alignment vertical="center"/>
    </xf>
    <xf numFmtId="10" fontId="5" fillId="4" borderId="2" xfId="0" applyNumberFormat="1" applyFont="1" applyFill="1" applyBorder="1" applyAlignment="1">
      <alignment horizontal="right" vertical="center"/>
    </xf>
    <xf numFmtId="3" fontId="5" fillId="0" borderId="2" xfId="0" applyNumberFormat="1" applyFont="1" applyFill="1" applyBorder="1" applyAlignment="1" applyProtection="1">
      <alignment vertical="center" shrinkToFit="1"/>
    </xf>
    <xf numFmtId="10" fontId="5" fillId="0" borderId="2" xfId="0" applyNumberFormat="1" applyFont="1" applyFill="1" applyBorder="1" applyAlignment="1">
      <alignment horizontal="right" vertical="center"/>
    </xf>
    <xf numFmtId="3" fontId="5" fillId="0" borderId="2" xfId="0" applyNumberFormat="1" applyFont="1" applyFill="1" applyBorder="1" applyAlignment="1" applyProtection="1">
      <alignment vertical="center"/>
    </xf>
    <xf numFmtId="10" fontId="21" fillId="0" borderId="0" xfId="0" applyNumberFormat="1" applyFont="1" applyFill="1" applyAlignment="1">
      <alignment horizontal="center" vertical="center"/>
    </xf>
    <xf numFmtId="10" fontId="0" fillId="0" borderId="0" xfId="0" applyNumberFormat="1" applyFont="1" applyFill="1" applyAlignment="1">
      <alignment horizontal="center" vertical="center"/>
    </xf>
    <xf numFmtId="10" fontId="23" fillId="0" borderId="26"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wrapText="1"/>
    </xf>
    <xf numFmtId="0" fontId="5" fillId="4" borderId="7" xfId="0" applyFont="1" applyFill="1" applyBorder="1" applyAlignment="1">
      <alignment horizontal="right" vertical="center"/>
    </xf>
    <xf numFmtId="10" fontId="6" fillId="0" borderId="2" xfId="0" applyNumberFormat="1" applyFont="1" applyFill="1" applyBorder="1" applyAlignment="1">
      <alignment horizontal="right" vertical="center"/>
    </xf>
    <xf numFmtId="0" fontId="6" fillId="4" borderId="2" xfId="0" applyFont="1" applyFill="1" applyBorder="1" applyAlignment="1">
      <alignment horizontal="left" vertical="center" shrinkToFit="1"/>
    </xf>
    <xf numFmtId="0" fontId="5" fillId="0" borderId="2" xfId="0" applyFont="1" applyFill="1" applyBorder="1" applyAlignment="1">
      <alignment vertical="center" shrinkToFit="1"/>
    </xf>
    <xf numFmtId="1" fontId="5" fillId="0" borderId="2" xfId="0" applyNumberFormat="1" applyFont="1" applyFill="1" applyBorder="1" applyAlignment="1" applyProtection="1">
      <alignment vertical="center" shrinkToFit="1"/>
      <protection locked="0"/>
    </xf>
    <xf numFmtId="0" fontId="6" fillId="4" borderId="2" xfId="0" applyFont="1" applyFill="1" applyBorder="1" applyAlignment="1">
      <alignment vertical="center" shrinkToFit="1"/>
    </xf>
    <xf numFmtId="0" fontId="0" fillId="0" borderId="0" xfId="0" applyFont="1" applyFill="1" applyAlignment="1">
      <alignment horizontal="center" vertical="center"/>
    </xf>
    <xf numFmtId="0" fontId="4" fillId="0" borderId="2" xfId="0" applyFont="1" applyFill="1" applyBorder="1" applyAlignment="1">
      <alignment horizontal="center" vertical="center"/>
    </xf>
    <xf numFmtId="10" fontId="4" fillId="0" borderId="2" xfId="0" applyNumberFormat="1" applyFont="1" applyFill="1" applyBorder="1" applyAlignment="1">
      <alignment horizontal="center" vertical="center" wrapText="1"/>
    </xf>
    <xf numFmtId="0" fontId="4" fillId="4" borderId="2" xfId="0" applyFont="1" applyFill="1" applyBorder="1" applyAlignment="1">
      <alignment vertical="center" shrinkToFit="1"/>
    </xf>
    <xf numFmtId="0" fontId="4" fillId="4" borderId="2" xfId="0" applyFont="1" applyFill="1" applyBorder="1" applyAlignment="1">
      <alignment vertical="center" shrinkToFit="1"/>
    </xf>
    <xf numFmtId="0" fontId="4" fillId="0" borderId="2" xfId="0" applyFont="1" applyFill="1" applyBorder="1" applyAlignment="1">
      <alignment horizontal="distributed" vertical="center"/>
    </xf>
    <xf numFmtId="3" fontId="4" fillId="6" borderId="2" xfId="0" applyNumberFormat="1" applyFont="1" applyFill="1" applyBorder="1" applyAlignment="1" applyProtection="1">
      <alignment horizontal="right" vertical="center"/>
    </xf>
    <xf numFmtId="0" fontId="4" fillId="6" borderId="2" xfId="0" applyNumberFormat="1" applyFont="1" applyFill="1" applyBorder="1" applyAlignment="1" applyProtection="1">
      <alignment horizontal="right" vertical="center"/>
    </xf>
    <xf numFmtId="3" fontId="4" fillId="2" borderId="27" xfId="0" applyNumberFormat="1" applyFont="1" applyFill="1" applyBorder="1" applyAlignment="1">
      <alignment horizontal="right" vertical="center"/>
    </xf>
    <xf numFmtId="3" fontId="4" fillId="2" borderId="28" xfId="0" applyNumberFormat="1" applyFont="1" applyFill="1" applyBorder="1" applyAlignment="1">
      <alignment horizontal="right" vertical="center"/>
    </xf>
    <xf numFmtId="3" fontId="4" fillId="2" borderId="29" xfId="0" applyNumberFormat="1" applyFont="1" applyFill="1" applyBorder="1" applyAlignment="1">
      <alignment horizontal="right" vertical="center"/>
    </xf>
    <xf numFmtId="0" fontId="11" fillId="0" borderId="0" xfId="0" applyFont="1" applyFill="1" applyBorder="1" applyAlignment="1">
      <alignment vertical="center"/>
    </xf>
    <xf numFmtId="0" fontId="4"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xf>
    <xf numFmtId="49" fontId="4" fillId="0" borderId="6"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wrapText="1"/>
    </xf>
    <xf numFmtId="49" fontId="4" fillId="0" borderId="7" xfId="0" applyNumberFormat="1" applyFont="1" applyFill="1" applyBorder="1" applyAlignment="1">
      <alignment horizontal="center" vertical="center"/>
    </xf>
    <xf numFmtId="0" fontId="11" fillId="0" borderId="7" xfId="0" applyFont="1" applyFill="1" applyBorder="1" applyAlignment="1">
      <alignment horizontal="center" vertical="center" wrapText="1"/>
    </xf>
    <xf numFmtId="49" fontId="11" fillId="7" borderId="2" xfId="0" applyNumberFormat="1" applyFont="1" applyFill="1" applyBorder="1" applyAlignment="1">
      <alignment vertical="center"/>
    </xf>
    <xf numFmtId="0" fontId="11" fillId="7" borderId="24" xfId="0" applyFont="1" applyFill="1" applyBorder="1" applyAlignment="1">
      <alignment vertical="center"/>
    </xf>
    <xf numFmtId="0" fontId="11" fillId="7" borderId="2" xfId="0" applyFont="1" applyFill="1" applyBorder="1" applyAlignment="1">
      <alignment horizontal="right" vertical="center"/>
    </xf>
    <xf numFmtId="49" fontId="4" fillId="0" borderId="2" xfId="0" applyNumberFormat="1" applyFont="1" applyFill="1" applyBorder="1" applyAlignment="1">
      <alignment vertical="center"/>
    </xf>
    <xf numFmtId="177" fontId="4" fillId="0" borderId="2" xfId="0" applyNumberFormat="1" applyFont="1" applyFill="1" applyBorder="1" applyAlignment="1" applyProtection="1">
      <alignment horizontal="left" vertical="center"/>
      <protection locked="0"/>
    </xf>
    <xf numFmtId="0" fontId="4" fillId="0" borderId="2" xfId="0" applyFont="1" applyFill="1" applyBorder="1" applyAlignment="1">
      <alignment horizontal="right" vertical="center"/>
    </xf>
    <xf numFmtId="179" fontId="4" fillId="0" borderId="2" xfId="0" applyNumberFormat="1" applyFont="1" applyFill="1" applyBorder="1" applyAlignment="1" applyProtection="1">
      <alignment horizontal="left" vertical="center"/>
      <protection locked="0"/>
    </xf>
    <xf numFmtId="0" fontId="4" fillId="0" borderId="2" xfId="0" applyFont="1" applyFill="1" applyBorder="1" applyAlignment="1">
      <alignment vertical="center"/>
    </xf>
    <xf numFmtId="179" fontId="4" fillId="0" borderId="24" xfId="0" applyNumberFormat="1" applyFont="1" applyFill="1" applyBorder="1" applyAlignment="1" applyProtection="1">
      <alignment horizontal="left" vertical="center"/>
      <protection locked="0"/>
    </xf>
    <xf numFmtId="49" fontId="4" fillId="0" borderId="2" xfId="0" applyNumberFormat="1" applyFont="1" applyFill="1" applyBorder="1" applyAlignment="1">
      <alignment vertical="center" shrinkToFit="1"/>
    </xf>
    <xf numFmtId="49" fontId="4" fillId="0" borderId="2" xfId="0" applyNumberFormat="1" applyFont="1" applyFill="1" applyBorder="1" applyAlignment="1">
      <alignment horizontal="left" vertical="center" shrinkToFit="1"/>
    </xf>
    <xf numFmtId="177" fontId="4" fillId="0" borderId="24" xfId="0" applyNumberFormat="1" applyFont="1" applyFill="1" applyBorder="1" applyAlignment="1" applyProtection="1">
      <alignment horizontal="left" vertical="center"/>
      <protection locked="0"/>
    </xf>
    <xf numFmtId="0" fontId="4" fillId="0" borderId="24" xfId="0" applyFont="1" applyFill="1" applyBorder="1" applyAlignment="1">
      <alignment vertical="center"/>
    </xf>
    <xf numFmtId="0" fontId="11" fillId="0" borderId="2" xfId="0" applyFont="1" applyFill="1" applyBorder="1" applyAlignment="1">
      <alignment horizontal="center" vertical="center" wrapText="1"/>
    </xf>
    <xf numFmtId="0" fontId="11" fillId="0" borderId="26" xfId="0" applyFont="1" applyFill="1" applyBorder="1" applyAlignment="1">
      <alignment horizontal="center" vertical="center"/>
    </xf>
    <xf numFmtId="3" fontId="4" fillId="0" borderId="26" xfId="0" applyNumberFormat="1" applyFont="1" applyFill="1" applyBorder="1" applyAlignment="1" applyProtection="1">
      <alignment horizontal="right" vertical="center"/>
    </xf>
    <xf numFmtId="3" fontId="4" fillId="0" borderId="26" xfId="0" applyNumberFormat="1" applyFont="1" applyFill="1" applyBorder="1" applyAlignment="1" applyProtection="1">
      <alignment horizontal="right" vertical="center"/>
    </xf>
    <xf numFmtId="3" fontId="4" fillId="0" borderId="2" xfId="0" applyNumberFormat="1" applyFont="1" applyFill="1" applyBorder="1" applyAlignment="1" applyProtection="1">
      <alignment horizontal="right" vertical="center"/>
    </xf>
    <xf numFmtId="0" fontId="0" fillId="0" borderId="0" xfId="0" applyFont="1" applyFill="1" applyAlignment="1">
      <alignment horizontal="right" vertical="center"/>
    </xf>
    <xf numFmtId="0" fontId="11" fillId="0" borderId="30" xfId="0" applyFont="1" applyFill="1" applyBorder="1" applyAlignment="1">
      <alignment horizontal="center" vertical="center" wrapText="1"/>
    </xf>
    <xf numFmtId="3" fontId="4" fillId="8" borderId="2" xfId="0" applyNumberFormat="1" applyFont="1" applyFill="1" applyBorder="1" applyAlignment="1" applyProtection="1">
      <alignment horizontal="right" vertical="center"/>
    </xf>
    <xf numFmtId="0" fontId="4" fillId="8" borderId="2" xfId="0" applyFont="1" applyFill="1" applyBorder="1" applyAlignment="1">
      <alignment horizontal="right" vertical="center"/>
    </xf>
    <xf numFmtId="49" fontId="4" fillId="0" borderId="2" xfId="0" applyNumberFormat="1" applyFont="1" applyFill="1" applyBorder="1" applyAlignment="1"/>
    <xf numFmtId="0" fontId="4" fillId="0" borderId="24" xfId="0" applyNumberFormat="1" applyFont="1" applyFill="1" applyBorder="1" applyAlignment="1" applyProtection="1">
      <alignment vertical="center"/>
    </xf>
    <xf numFmtId="49" fontId="4" fillId="0" borderId="2" xfId="0" applyNumberFormat="1" applyFont="1" applyFill="1" applyBorder="1" applyAlignment="1" applyProtection="1">
      <alignment horizontal="left" vertical="center"/>
    </xf>
    <xf numFmtId="0" fontId="4" fillId="0" borderId="2" xfId="0" applyFont="1" applyFill="1" applyBorder="1" applyAlignment="1">
      <alignment horizontal="left" vertical="center"/>
    </xf>
    <xf numFmtId="0" fontId="4" fillId="0" borderId="24" xfId="0" applyFont="1" applyFill="1" applyBorder="1" applyAlignment="1">
      <alignment vertical="center"/>
    </xf>
    <xf numFmtId="0" fontId="11" fillId="0" borderId="2" xfId="0" applyFont="1" applyFill="1" applyBorder="1" applyAlignment="1">
      <alignment horizontal="distributed" vertical="center"/>
    </xf>
    <xf numFmtId="0" fontId="4" fillId="0" borderId="31" xfId="0" applyFont="1" applyFill="1" applyBorder="1" applyAlignment="1">
      <alignment horizontal="right" vertical="center"/>
    </xf>
    <xf numFmtId="0" fontId="1" fillId="0" borderId="0" xfId="0" applyFont="1" applyFill="1"/>
    <xf numFmtId="0" fontId="5" fillId="0" borderId="0" xfId="0" applyFont="1" applyFill="1" applyBorder="1" applyAlignment="1"/>
    <xf numFmtId="0" fontId="7" fillId="0" borderId="0" xfId="0" applyFont="1" applyFill="1" applyBorder="1" applyAlignment="1"/>
    <xf numFmtId="0" fontId="21" fillId="0" borderId="0" xfId="55" applyFont="1" applyFill="1" applyAlignment="1">
      <alignment horizontal="center" vertical="center"/>
    </xf>
    <xf numFmtId="0" fontId="22" fillId="0" borderId="0" xfId="55" applyFont="1" applyFill="1" applyAlignment="1">
      <alignment vertical="center"/>
    </xf>
    <xf numFmtId="0" fontId="0" fillId="0" borderId="0" xfId="55" applyFont="1" applyFill="1" applyAlignment="1">
      <alignment vertical="center"/>
    </xf>
    <xf numFmtId="0" fontId="24" fillId="0" borderId="24" xfId="55" applyFont="1" applyFill="1" applyBorder="1" applyAlignment="1">
      <alignment horizontal="center" vertical="center"/>
    </xf>
    <xf numFmtId="0" fontId="24" fillId="0" borderId="25" xfId="55" applyFont="1" applyFill="1" applyBorder="1" applyAlignment="1">
      <alignment horizontal="center" vertical="center"/>
    </xf>
    <xf numFmtId="0" fontId="24" fillId="0" borderId="25" xfId="55" applyFont="1" applyFill="1" applyBorder="1" applyAlignment="1">
      <alignment horizontal="distributed" vertical="center"/>
    </xf>
    <xf numFmtId="0" fontId="6" fillId="0" borderId="2" xfId="55" applyFont="1" applyFill="1" applyBorder="1" applyAlignment="1">
      <alignment horizontal="center" vertical="center"/>
    </xf>
    <xf numFmtId="0" fontId="25" fillId="0" borderId="2" xfId="55" applyFont="1" applyFill="1" applyBorder="1" applyAlignment="1">
      <alignment horizontal="center" vertical="center"/>
    </xf>
    <xf numFmtId="0" fontId="25" fillId="0" borderId="2" xfId="55" applyFont="1" applyFill="1" applyBorder="1" applyAlignment="1">
      <alignment horizontal="left" vertical="center"/>
    </xf>
    <xf numFmtId="0" fontId="25" fillId="0" borderId="2" xfId="55" applyFont="1" applyFill="1" applyBorder="1" applyAlignment="1">
      <alignment vertical="center"/>
    </xf>
    <xf numFmtId="1" fontId="25" fillId="0" borderId="2" xfId="55" applyNumberFormat="1" applyFont="1" applyFill="1" applyBorder="1" applyAlignment="1" applyProtection="1">
      <alignment vertical="center"/>
      <protection locked="0"/>
    </xf>
    <xf numFmtId="1" fontId="25" fillId="0" borderId="2" xfId="55" applyNumberFormat="1" applyFont="1" applyFill="1" applyBorder="1" applyAlignment="1" applyProtection="1">
      <alignment horizontal="left" vertical="center"/>
      <protection locked="0"/>
    </xf>
    <xf numFmtId="1" fontId="7" fillId="0" borderId="2" xfId="55" applyNumberFormat="1" applyFont="1" applyFill="1" applyBorder="1" applyAlignment="1" applyProtection="1">
      <alignment vertical="center"/>
      <protection locked="0"/>
    </xf>
    <xf numFmtId="0" fontId="7" fillId="0" borderId="2" xfId="55" applyFont="1" applyFill="1" applyBorder="1" applyAlignment="1">
      <alignment vertical="center"/>
    </xf>
    <xf numFmtId="0" fontId="5" fillId="0" borderId="2" xfId="0" applyNumberFormat="1" applyFont="1" applyFill="1" applyBorder="1" applyAlignment="1" applyProtection="1">
      <alignment vertical="center"/>
    </xf>
    <xf numFmtId="0" fontId="7" fillId="4" borderId="2" xfId="55" applyFont="1" applyFill="1" applyBorder="1" applyAlignment="1">
      <alignment vertical="center"/>
    </xf>
    <xf numFmtId="3" fontId="5" fillId="0" borderId="2" xfId="0" applyNumberFormat="1" applyFont="1" applyFill="1" applyBorder="1" applyAlignment="1" applyProtection="1">
      <alignment horizontal="right" vertical="center"/>
    </xf>
    <xf numFmtId="0" fontId="5" fillId="0" borderId="2" xfId="0" applyNumberFormat="1" applyFont="1" applyFill="1" applyBorder="1" applyAlignment="1" applyProtection="1">
      <alignment horizontal="right" vertical="center"/>
    </xf>
    <xf numFmtId="0" fontId="5" fillId="4" borderId="2" xfId="0" applyNumberFormat="1" applyFont="1" applyFill="1" applyBorder="1" applyAlignment="1" applyProtection="1">
      <alignment horizontal="right" vertical="center"/>
    </xf>
    <xf numFmtId="3" fontId="25" fillId="0" borderId="2" xfId="55" applyNumberFormat="1" applyFont="1" applyFill="1" applyBorder="1" applyAlignment="1" applyProtection="1">
      <alignment vertical="center"/>
    </xf>
    <xf numFmtId="0" fontId="5" fillId="0" borderId="2" xfId="0" applyFont="1" applyFill="1" applyBorder="1" applyAlignment="1">
      <alignment horizontal="right" vertical="center"/>
    </xf>
    <xf numFmtId="0" fontId="4" fillId="0" borderId="1" xfId="55" applyFont="1" applyFill="1" applyBorder="1" applyAlignment="1">
      <alignment horizontal="right" vertical="center"/>
    </xf>
    <xf numFmtId="0" fontId="24" fillId="0" borderId="24" xfId="55" applyFont="1" applyFill="1" applyBorder="1" applyAlignment="1">
      <alignment horizontal="center" vertical="center"/>
    </xf>
    <xf numFmtId="0" fontId="24" fillId="0" borderId="25" xfId="55" applyFont="1" applyFill="1" applyBorder="1" applyAlignment="1">
      <alignment horizontal="center" vertical="center"/>
    </xf>
    <xf numFmtId="0" fontId="25" fillId="0" borderId="2" xfId="55" applyFont="1" applyFill="1" applyBorder="1" applyAlignment="1">
      <alignment horizontal="center" vertical="center" wrapText="1"/>
    </xf>
    <xf numFmtId="2" fontId="25" fillId="0" borderId="2" xfId="55" applyNumberFormat="1" applyFont="1" applyFill="1" applyBorder="1" applyAlignment="1">
      <alignment vertical="center"/>
    </xf>
    <xf numFmtId="1" fontId="25" fillId="0" borderId="2" xfId="55" applyNumberFormat="1" applyFont="1" applyFill="1" applyBorder="1" applyAlignment="1">
      <alignment vertical="center"/>
    </xf>
    <xf numFmtId="0" fontId="6" fillId="0" borderId="2" xfId="0" applyNumberFormat="1" applyFont="1" applyFill="1" applyBorder="1" applyAlignment="1" applyProtection="1">
      <alignment vertical="center"/>
    </xf>
    <xf numFmtId="180" fontId="25" fillId="0" borderId="2" xfId="55" applyNumberFormat="1" applyFont="1" applyFill="1" applyBorder="1" applyAlignment="1">
      <alignment vertical="center"/>
    </xf>
    <xf numFmtId="0" fontId="24" fillId="0" borderId="26" xfId="55" applyFont="1" applyFill="1" applyBorder="1" applyAlignment="1">
      <alignment horizontal="center" vertical="center"/>
    </xf>
    <xf numFmtId="2" fontId="25" fillId="0" borderId="2" xfId="0" applyNumberFormat="1" applyFont="1" applyFill="1" applyBorder="1" applyAlignment="1">
      <alignment vertical="center"/>
    </xf>
    <xf numFmtId="0" fontId="5" fillId="0" borderId="2" xfId="0" applyNumberFormat="1" applyFont="1" applyFill="1" applyBorder="1" applyAlignment="1" applyProtection="1">
      <alignment horizontal="left" vertical="center"/>
    </xf>
    <xf numFmtId="1" fontId="25" fillId="0" borderId="2" xfId="0" applyNumberFormat="1" applyFont="1" applyFill="1" applyBorder="1" applyAlignment="1" applyProtection="1">
      <alignment horizontal="left" vertical="center"/>
      <protection locked="0"/>
    </xf>
    <xf numFmtId="1" fontId="7" fillId="0" borderId="2" xfId="55" applyNumberFormat="1" applyFont="1" applyFill="1" applyBorder="1" applyAlignment="1" applyProtection="1">
      <alignment horizontal="left" vertical="center"/>
      <protection locked="0"/>
    </xf>
    <xf numFmtId="0" fontId="25" fillId="0" borderId="2" xfId="55" applyFont="1" applyFill="1" applyBorder="1" applyAlignment="1">
      <alignment horizontal="distributed" vertical="center"/>
    </xf>
    <xf numFmtId="1" fontId="7" fillId="0" borderId="2" xfId="55" applyNumberFormat="1" applyFont="1" applyFill="1" applyBorder="1" applyAlignment="1">
      <alignment vertical="center"/>
    </xf>
    <xf numFmtId="0" fontId="5" fillId="0" borderId="0" xfId="0" applyFont="1" applyFill="1" applyBorder="1" applyAlignment="1">
      <alignment horizontal="right" vertical="center"/>
    </xf>
    <xf numFmtId="0" fontId="0" fillId="0" borderId="0" xfId="0" applyFill="1" applyAlignment="1">
      <alignment vertical="center"/>
    </xf>
    <xf numFmtId="0" fontId="26" fillId="0" borderId="0" xfId="0" applyNumberFormat="1" applyFont="1" applyFill="1" applyAlignment="1" applyProtection="1">
      <alignment horizontal="center" vertical="center"/>
    </xf>
    <xf numFmtId="0" fontId="25" fillId="0" borderId="32" xfId="0" applyFont="1" applyFill="1" applyBorder="1" applyAlignment="1">
      <alignment horizontal="center" vertical="center" wrapText="1"/>
    </xf>
    <xf numFmtId="0" fontId="6" fillId="0" borderId="32" xfId="0" applyFont="1" applyFill="1" applyBorder="1" applyAlignment="1">
      <alignment vertical="center" wrapText="1"/>
    </xf>
    <xf numFmtId="0" fontId="6" fillId="0" borderId="32" xfId="0" applyFont="1" applyFill="1" applyBorder="1" applyAlignment="1">
      <alignment horizontal="center" vertical="center" wrapText="1"/>
    </xf>
    <xf numFmtId="3" fontId="6" fillId="0" borderId="32" xfId="0" applyNumberFormat="1" applyFont="1" applyFill="1" applyBorder="1" applyAlignment="1">
      <alignment horizontal="right" vertical="center" wrapText="1"/>
    </xf>
    <xf numFmtId="0" fontId="6" fillId="0" borderId="32" xfId="0" applyFont="1" applyFill="1" applyBorder="1" applyAlignment="1">
      <alignment horizontal="left" vertical="center" wrapText="1"/>
    </xf>
    <xf numFmtId="0" fontId="5" fillId="0" borderId="32" xfId="0" applyFont="1" applyFill="1" applyBorder="1" applyAlignment="1">
      <alignment horizontal="center" vertical="center" wrapText="1"/>
    </xf>
    <xf numFmtId="3" fontId="5" fillId="0" borderId="32" xfId="0" applyNumberFormat="1" applyFont="1" applyFill="1" applyBorder="1" applyAlignment="1">
      <alignment horizontal="right" vertical="center" wrapText="1"/>
    </xf>
    <xf numFmtId="0" fontId="5" fillId="9" borderId="32" xfId="0" applyFont="1" applyFill="1" applyBorder="1" applyAlignment="1">
      <alignment horizontal="center" vertical="center" wrapText="1"/>
    </xf>
    <xf numFmtId="3" fontId="27" fillId="0" borderId="0" xfId="0" applyNumberFormat="1" applyFont="1" applyFill="1" applyBorder="1" applyAlignment="1">
      <alignment horizontal="right" vertical="center" wrapText="1"/>
    </xf>
    <xf numFmtId="0" fontId="4" fillId="0" borderId="0" xfId="0" applyFont="1" applyFill="1" applyBorder="1" applyAlignment="1">
      <alignment vertical="center"/>
    </xf>
    <xf numFmtId="0" fontId="0" fillId="0" borderId="0" xfId="0" applyFill="1" applyAlignment="1">
      <alignment horizontal="right" vertical="center"/>
    </xf>
    <xf numFmtId="0" fontId="28" fillId="0" borderId="0" xfId="0" applyFont="1" applyFill="1" applyAlignment="1">
      <alignment vertical="center"/>
    </xf>
    <xf numFmtId="0" fontId="29" fillId="0" borderId="0" xfId="0" applyFont="1" applyFill="1" applyAlignment="1">
      <alignment vertical="center"/>
    </xf>
    <xf numFmtId="49" fontId="30" fillId="0" borderId="0" xfId="0" applyNumberFormat="1" applyFont="1" applyFill="1" applyBorder="1" applyAlignment="1">
      <alignment vertical="center"/>
    </xf>
    <xf numFmtId="0" fontId="30" fillId="0" borderId="0" xfId="0" applyFont="1" applyFill="1" applyBorder="1" applyAlignment="1">
      <alignment vertical="center"/>
    </xf>
    <xf numFmtId="0" fontId="30" fillId="0" borderId="0" xfId="0" applyNumberFormat="1" applyFont="1" applyFill="1" applyBorder="1" applyAlignment="1">
      <alignment vertical="center"/>
    </xf>
    <xf numFmtId="0" fontId="30" fillId="0" borderId="0" xfId="0" applyFont="1" applyFill="1" applyBorder="1" applyAlignment="1">
      <alignment horizontal="left" vertical="center"/>
    </xf>
    <xf numFmtId="49" fontId="0" fillId="0" borderId="0" xfId="0" applyNumberFormat="1" applyFont="1" applyFill="1" applyAlignment="1">
      <alignment vertical="center"/>
    </xf>
    <xf numFmtId="49" fontId="0" fillId="0" borderId="0" xfId="0" applyNumberFormat="1" applyFont="1" applyFill="1" applyAlignment="1">
      <alignment vertical="center" shrinkToFit="1"/>
    </xf>
    <xf numFmtId="49" fontId="31"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49" fontId="5" fillId="0" borderId="0" xfId="0" applyNumberFormat="1" applyFont="1" applyFill="1" applyBorder="1" applyAlignment="1">
      <alignment vertical="center"/>
    </xf>
    <xf numFmtId="0" fontId="5" fillId="0" borderId="0" xfId="0" applyFont="1" applyFill="1" applyBorder="1" applyAlignment="1">
      <alignment vertical="center"/>
    </xf>
    <xf numFmtId="0" fontId="5" fillId="0" borderId="0" xfId="0" applyNumberFormat="1" applyFont="1" applyFill="1" applyBorder="1" applyAlignment="1">
      <alignment vertical="center"/>
    </xf>
    <xf numFmtId="49" fontId="5" fillId="0" borderId="2" xfId="0" applyNumberFormat="1" applyFont="1" applyFill="1" applyBorder="1" applyAlignment="1">
      <alignment vertical="center"/>
    </xf>
    <xf numFmtId="49" fontId="6" fillId="7" borderId="2" xfId="0" applyNumberFormat="1" applyFont="1" applyFill="1" applyBorder="1" applyAlignment="1">
      <alignment vertical="center"/>
    </xf>
    <xf numFmtId="0" fontId="6" fillId="7" borderId="2" xfId="0" applyFont="1" applyFill="1" applyBorder="1" applyAlignment="1">
      <alignment vertical="center"/>
    </xf>
    <xf numFmtId="177" fontId="6" fillId="7" borderId="2" xfId="0" applyNumberFormat="1" applyFont="1" applyFill="1" applyBorder="1" applyAlignment="1">
      <alignment horizontal="right" vertical="center"/>
    </xf>
    <xf numFmtId="49" fontId="6" fillId="4" borderId="2" xfId="0" applyNumberFormat="1" applyFont="1" applyFill="1" applyBorder="1" applyAlignment="1">
      <alignment vertical="center"/>
    </xf>
    <xf numFmtId="177" fontId="6" fillId="4" borderId="2" xfId="0" applyNumberFormat="1" applyFont="1" applyFill="1" applyBorder="1" applyAlignment="1" applyProtection="1">
      <alignment horizontal="left" vertical="center"/>
      <protection locked="0"/>
    </xf>
    <xf numFmtId="177" fontId="6" fillId="4" borderId="2" xfId="0" applyNumberFormat="1" applyFont="1" applyFill="1" applyBorder="1" applyAlignment="1">
      <alignment horizontal="right" vertical="center"/>
    </xf>
    <xf numFmtId="177" fontId="5" fillId="0" borderId="2" xfId="0" applyNumberFormat="1" applyFont="1" applyFill="1" applyBorder="1" applyAlignment="1" applyProtection="1">
      <alignment horizontal="left" vertical="center"/>
      <protection locked="0"/>
    </xf>
    <xf numFmtId="177" fontId="5" fillId="0" borderId="2" xfId="0" applyNumberFormat="1" applyFont="1" applyFill="1" applyBorder="1" applyAlignment="1">
      <alignment horizontal="right" vertical="center"/>
    </xf>
    <xf numFmtId="177" fontId="6" fillId="0" borderId="2" xfId="0" applyNumberFormat="1" applyFont="1" applyFill="1" applyBorder="1" applyAlignment="1">
      <alignment horizontal="right" vertical="center"/>
    </xf>
    <xf numFmtId="179" fontId="5" fillId="0" borderId="2" xfId="0" applyNumberFormat="1" applyFont="1" applyFill="1" applyBorder="1" applyAlignment="1" applyProtection="1">
      <alignment horizontal="left" vertical="center"/>
      <protection locked="0"/>
    </xf>
    <xf numFmtId="0" fontId="6" fillId="0" borderId="2" xfId="0" applyNumberFormat="1" applyFont="1" applyFill="1" applyBorder="1" applyAlignment="1">
      <alignment horizontal="center" vertical="center"/>
    </xf>
    <xf numFmtId="0" fontId="32" fillId="0" borderId="0" xfId="0" applyFont="1" applyFill="1" applyBorder="1" applyAlignment="1">
      <alignment horizontal="left" vertical="center"/>
    </xf>
    <xf numFmtId="0" fontId="22" fillId="0" borderId="0" xfId="0" applyFont="1" applyFill="1" applyAlignment="1">
      <alignment horizontal="center" vertical="center"/>
    </xf>
    <xf numFmtId="0" fontId="5" fillId="0" borderId="0" xfId="0" applyFont="1" applyFill="1" applyBorder="1" applyAlignment="1">
      <alignment horizontal="left" vertical="center"/>
    </xf>
    <xf numFmtId="0" fontId="4" fillId="0" borderId="0" xfId="0" applyFont="1" applyFill="1" applyAlignment="1">
      <alignment horizontal="center" vertical="center"/>
    </xf>
    <xf numFmtId="0" fontId="6" fillId="0" borderId="2" xfId="0" applyFont="1" applyFill="1" applyBorder="1" applyAlignment="1">
      <alignment horizontal="left" vertical="center"/>
    </xf>
    <xf numFmtId="0" fontId="6" fillId="7" borderId="2" xfId="0" applyNumberFormat="1" applyFont="1" applyFill="1" applyBorder="1" applyAlignment="1">
      <alignment horizontal="right" vertical="center"/>
    </xf>
    <xf numFmtId="0" fontId="11" fillId="7" borderId="0" xfId="0" applyFont="1" applyFill="1" applyAlignment="1">
      <alignment horizontal="center" vertical="center"/>
    </xf>
    <xf numFmtId="0" fontId="11" fillId="7" borderId="2" xfId="0" applyFont="1" applyFill="1" applyBorder="1" applyAlignment="1">
      <alignment horizontal="center" vertical="center"/>
    </xf>
    <xf numFmtId="0" fontId="6" fillId="4" borderId="2" xfId="0" applyNumberFormat="1" applyFont="1" applyFill="1" applyBorder="1" applyAlignment="1">
      <alignment horizontal="right" vertical="center"/>
    </xf>
    <xf numFmtId="0" fontId="11" fillId="10" borderId="0" xfId="0" applyFont="1" applyFill="1" applyAlignment="1">
      <alignment horizontal="center" vertical="center"/>
    </xf>
    <xf numFmtId="0" fontId="11" fillId="10" borderId="2" xfId="0" applyFont="1" applyFill="1" applyBorder="1" applyAlignment="1">
      <alignment horizontal="center" vertical="center"/>
    </xf>
    <xf numFmtId="177" fontId="5" fillId="0" borderId="2" xfId="0" applyNumberFormat="1" applyFont="1" applyFill="1" applyBorder="1" applyAlignment="1">
      <alignment vertical="center"/>
    </xf>
    <xf numFmtId="0" fontId="5" fillId="0" borderId="2" xfId="0" applyNumberFormat="1" applyFont="1" applyFill="1" applyBorder="1" applyAlignment="1">
      <alignment horizontal="right" vertical="center"/>
    </xf>
    <xf numFmtId="49" fontId="22" fillId="0" borderId="0" xfId="0" applyNumberFormat="1" applyFont="1" applyFill="1" applyAlignment="1">
      <alignment vertical="center"/>
    </xf>
    <xf numFmtId="49" fontId="22" fillId="0" borderId="0" xfId="0" applyNumberFormat="1" applyFont="1" applyFill="1" applyAlignment="1">
      <alignment vertical="center" shrinkToFit="1"/>
    </xf>
    <xf numFmtId="49" fontId="4" fillId="0" borderId="0" xfId="0" applyNumberFormat="1" applyFont="1" applyFill="1" applyAlignment="1">
      <alignment vertical="center"/>
    </xf>
    <xf numFmtId="49" fontId="4" fillId="0" borderId="0" xfId="0" applyNumberFormat="1" applyFont="1" applyFill="1" applyAlignment="1">
      <alignment vertical="center" shrinkToFit="1"/>
    </xf>
    <xf numFmtId="49" fontId="4" fillId="0" borderId="2" xfId="0" applyNumberFormat="1" applyFont="1" applyFill="1" applyBorder="1" applyAlignment="1">
      <alignment vertical="center"/>
    </xf>
    <xf numFmtId="49" fontId="4" fillId="0" borderId="2" xfId="0" applyNumberFormat="1" applyFont="1" applyFill="1" applyBorder="1" applyAlignment="1">
      <alignment vertical="center" shrinkToFit="1"/>
    </xf>
    <xf numFmtId="49" fontId="11" fillId="7" borderId="2" xfId="0" applyNumberFormat="1" applyFont="1" applyFill="1" applyBorder="1" applyAlignment="1">
      <alignment vertical="center"/>
    </xf>
    <xf numFmtId="49" fontId="11" fillId="7" borderId="2" xfId="0" applyNumberFormat="1" applyFont="1" applyFill="1" applyBorder="1" applyAlignment="1">
      <alignment vertical="center" shrinkToFit="1"/>
    </xf>
    <xf numFmtId="49" fontId="11" fillId="10" borderId="2" xfId="0" applyNumberFormat="1" applyFont="1" applyFill="1" applyBorder="1" applyAlignment="1">
      <alignment vertical="center"/>
    </xf>
    <xf numFmtId="49" fontId="11" fillId="10" borderId="2" xfId="0" applyNumberFormat="1" applyFont="1" applyFill="1" applyBorder="1" applyAlignment="1">
      <alignment vertical="center" shrinkToFit="1"/>
    </xf>
    <xf numFmtId="49" fontId="4" fillId="0" borderId="2" xfId="0" applyNumberFormat="1" applyFont="1" applyFill="1" applyBorder="1" applyAlignment="1">
      <alignment horizontal="left" vertical="center" shrinkToFit="1"/>
    </xf>
    <xf numFmtId="177" fontId="4" fillId="0" borderId="2" xfId="0" applyNumberFormat="1" applyFont="1" applyFill="1" applyBorder="1" applyAlignment="1" applyProtection="1">
      <alignment horizontal="left" vertical="center" shrinkToFit="1"/>
      <protection locked="0"/>
    </xf>
    <xf numFmtId="179" fontId="4" fillId="0" borderId="2" xfId="0" applyNumberFormat="1" applyFont="1" applyFill="1" applyBorder="1" applyAlignment="1" applyProtection="1">
      <alignment horizontal="left" vertical="center" shrinkToFit="1"/>
      <protection locked="0"/>
    </xf>
    <xf numFmtId="177" fontId="6" fillId="0" borderId="2" xfId="0" applyNumberFormat="1" applyFont="1" applyFill="1" applyBorder="1" applyAlignment="1">
      <alignment vertical="center"/>
    </xf>
    <xf numFmtId="0" fontId="6" fillId="0" borderId="2" xfId="0" applyNumberFormat="1" applyFont="1" applyFill="1" applyBorder="1" applyAlignment="1">
      <alignment horizontal="right" vertical="center"/>
    </xf>
    <xf numFmtId="177" fontId="11" fillId="10" borderId="2" xfId="0" applyNumberFormat="1" applyFont="1" applyFill="1" applyBorder="1" applyAlignment="1" applyProtection="1">
      <alignment horizontal="left" vertical="center" shrinkToFit="1"/>
      <protection locked="0"/>
    </xf>
    <xf numFmtId="49" fontId="11" fillId="0" borderId="2" xfId="0" applyNumberFormat="1" applyFont="1" applyFill="1" applyBorder="1" applyAlignment="1">
      <alignment vertical="center"/>
    </xf>
    <xf numFmtId="0" fontId="33" fillId="11" borderId="0" xfId="0" applyFont="1" applyFill="1" applyAlignment="1">
      <alignment vertical="center" wrapText="1"/>
    </xf>
    <xf numFmtId="177" fontId="5" fillId="9" borderId="2" xfId="0" applyNumberFormat="1" applyFont="1" applyFill="1" applyBorder="1" applyAlignment="1">
      <alignment vertical="center"/>
    </xf>
    <xf numFmtId="179" fontId="6" fillId="4" borderId="2" xfId="0" applyNumberFormat="1" applyFont="1" applyFill="1" applyBorder="1" applyAlignment="1" applyProtection="1">
      <alignment horizontal="left" vertical="center"/>
      <protection locked="0"/>
    </xf>
    <xf numFmtId="0" fontId="6" fillId="4" borderId="2" xfId="0" applyFont="1" applyFill="1" applyBorder="1" applyAlignment="1">
      <alignment horizontal="right" vertical="center"/>
    </xf>
    <xf numFmtId="49" fontId="5" fillId="0" borderId="33" xfId="0" applyNumberFormat="1" applyFont="1" applyFill="1" applyBorder="1" applyAlignment="1">
      <alignment vertical="center"/>
    </xf>
    <xf numFmtId="0" fontId="5" fillId="0" borderId="33" xfId="0" applyFont="1" applyFill="1" applyBorder="1" applyAlignment="1">
      <alignment vertical="center"/>
    </xf>
    <xf numFmtId="49" fontId="34" fillId="0" borderId="32" xfId="0" applyNumberFormat="1" applyFont="1" applyFill="1" applyBorder="1" applyAlignment="1" applyProtection="1">
      <alignment horizontal="left" vertical="center"/>
    </xf>
    <xf numFmtId="0" fontId="34" fillId="0" borderId="32" xfId="0" applyFont="1" applyFill="1" applyBorder="1" applyAlignment="1" applyProtection="1">
      <alignment horizontal="left" vertical="center"/>
    </xf>
    <xf numFmtId="49" fontId="4" fillId="0" borderId="33" xfId="0" applyNumberFormat="1" applyFont="1" applyFill="1" applyBorder="1" applyAlignment="1">
      <alignment vertical="center"/>
    </xf>
    <xf numFmtId="49" fontId="35" fillId="0" borderId="32" xfId="0" applyNumberFormat="1" applyFont="1" applyFill="1" applyBorder="1" applyAlignment="1" applyProtection="1">
      <alignment horizontal="left" vertical="center"/>
    </xf>
    <xf numFmtId="0" fontId="4" fillId="0" borderId="2" xfId="0" applyFont="1" applyFill="1" applyBorder="1" applyAlignment="1">
      <alignment vertical="center" shrinkToFit="1"/>
    </xf>
    <xf numFmtId="0" fontId="4" fillId="0" borderId="33" xfId="0" applyFont="1" applyFill="1" applyBorder="1" applyAlignment="1">
      <alignment vertical="center" shrinkToFit="1"/>
    </xf>
    <xf numFmtId="0" fontId="4" fillId="0" borderId="32" xfId="0" applyFont="1" applyFill="1" applyBorder="1" applyAlignment="1" applyProtection="1">
      <alignment horizontal="left" vertical="center" shrinkToFit="1"/>
    </xf>
    <xf numFmtId="49" fontId="5" fillId="0" borderId="2" xfId="0" applyNumberFormat="1" applyFont="1" applyFill="1" applyBorder="1" applyAlignment="1">
      <alignment horizontal="left" vertical="center" shrinkToFit="1"/>
    </xf>
    <xf numFmtId="49" fontId="5" fillId="0" borderId="2" xfId="0" applyNumberFormat="1" applyFont="1" applyFill="1" applyBorder="1" applyAlignment="1" applyProtection="1">
      <alignment horizontal="left" vertical="center"/>
    </xf>
    <xf numFmtId="0" fontId="5" fillId="0" borderId="24" xfId="0" applyNumberFormat="1" applyFont="1" applyFill="1" applyBorder="1" applyAlignment="1" applyProtection="1">
      <alignment horizontal="left" vertical="center"/>
    </xf>
    <xf numFmtId="49" fontId="5" fillId="0" borderId="2" xfId="0" applyNumberFormat="1" applyFont="1" applyFill="1" applyBorder="1" applyAlignment="1">
      <alignment horizontal="left" vertical="center"/>
    </xf>
    <xf numFmtId="0" fontId="4" fillId="0" borderId="2" xfId="0" applyNumberFormat="1" applyFont="1" applyFill="1" applyBorder="1" applyAlignment="1" applyProtection="1">
      <alignment horizontal="left" vertical="center" shrinkToFit="1"/>
    </xf>
    <xf numFmtId="49" fontId="11" fillId="7" borderId="2" xfId="0" applyNumberFormat="1" applyFont="1" applyFill="1" applyBorder="1" applyAlignment="1">
      <alignment horizontal="left" vertical="center" shrinkToFit="1"/>
    </xf>
    <xf numFmtId="0" fontId="4" fillId="0" borderId="2" xfId="0" applyFont="1" applyFill="1" applyBorder="1" applyAlignment="1">
      <alignment vertical="center"/>
    </xf>
    <xf numFmtId="179" fontId="11" fillId="10" borderId="2" xfId="0" applyNumberFormat="1" applyFont="1" applyFill="1" applyBorder="1" applyAlignment="1" applyProtection="1">
      <alignment horizontal="left" vertical="center"/>
      <protection locked="0"/>
    </xf>
    <xf numFmtId="0" fontId="4" fillId="0"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6" fillId="0" borderId="2" xfId="0" applyFont="1" applyFill="1" applyBorder="1" applyAlignment="1">
      <alignment horizontal="right" vertical="center"/>
    </xf>
    <xf numFmtId="0" fontId="29" fillId="0" borderId="0" xfId="0" applyFont="1" applyFill="1" applyAlignment="1">
      <alignment horizontal="center" vertical="center"/>
    </xf>
    <xf numFmtId="0" fontId="29" fillId="0" borderId="2" xfId="0" applyFont="1" applyFill="1" applyBorder="1" applyAlignment="1">
      <alignment horizontal="center" vertical="center"/>
    </xf>
    <xf numFmtId="0" fontId="4" fillId="0" borderId="24" xfId="0" applyNumberFormat="1" applyFont="1" applyFill="1" applyBorder="1" applyAlignment="1" applyProtection="1">
      <alignment horizontal="left" vertical="center"/>
    </xf>
    <xf numFmtId="49" fontId="29" fillId="0" borderId="2" xfId="0" applyNumberFormat="1" applyFont="1" applyFill="1" applyBorder="1" applyAlignment="1">
      <alignment vertical="center"/>
    </xf>
    <xf numFmtId="49" fontId="29" fillId="0" borderId="2" xfId="0" applyNumberFormat="1" applyFont="1" applyFill="1" applyBorder="1" applyAlignment="1">
      <alignment horizontal="left" vertical="center" shrinkToFit="1"/>
    </xf>
    <xf numFmtId="49" fontId="29" fillId="0" borderId="2" xfId="0" applyNumberFormat="1" applyFont="1" applyFill="1" applyBorder="1" applyAlignment="1">
      <alignment vertical="center" shrinkToFit="1"/>
    </xf>
    <xf numFmtId="0" fontId="29" fillId="0" borderId="0" xfId="0" applyFont="1" applyFill="1" applyAlignment="1">
      <alignment vertical="center" wrapText="1"/>
    </xf>
    <xf numFmtId="0" fontId="36" fillId="0" borderId="0" xfId="0" applyFont="1" applyFill="1" applyAlignment="1">
      <alignment vertical="center" wrapText="1"/>
    </xf>
    <xf numFmtId="177" fontId="5" fillId="0" borderId="32" xfId="0" applyNumberFormat="1" applyFont="1" applyFill="1" applyBorder="1" applyAlignment="1">
      <alignment horizontal="right" vertical="center"/>
    </xf>
    <xf numFmtId="177" fontId="6" fillId="4" borderId="2" xfId="0" applyNumberFormat="1" applyFont="1" applyFill="1" applyBorder="1" applyAlignment="1">
      <alignment vertical="center"/>
    </xf>
    <xf numFmtId="49" fontId="11" fillId="10" borderId="2" xfId="0" applyNumberFormat="1" applyFont="1" applyFill="1" applyBorder="1" applyAlignment="1">
      <alignment horizontal="left" vertical="center" shrinkToFit="1"/>
    </xf>
    <xf numFmtId="49" fontId="5" fillId="0" borderId="2" xfId="0" applyNumberFormat="1" applyFont="1" applyFill="1" applyBorder="1" applyAlignment="1">
      <alignment vertical="center" shrinkToFit="1"/>
    </xf>
    <xf numFmtId="49" fontId="5" fillId="0" borderId="2" xfId="0" applyNumberFormat="1" applyFont="1" applyFill="1" applyBorder="1" applyAlignment="1"/>
    <xf numFmtId="49" fontId="4" fillId="0" borderId="2" xfId="0" applyNumberFormat="1" applyFont="1" applyFill="1" applyBorder="1"/>
    <xf numFmtId="177" fontId="6" fillId="7" borderId="2" xfId="0" applyNumberFormat="1" applyFont="1" applyFill="1" applyBorder="1" applyAlignment="1">
      <alignment vertical="center"/>
    </xf>
    <xf numFmtId="177" fontId="5" fillId="0" borderId="2" xfId="0" applyNumberFormat="1" applyFont="1" applyFill="1" applyBorder="1" applyAlignment="1">
      <alignment horizontal="left" vertical="center"/>
    </xf>
    <xf numFmtId="49" fontId="4" fillId="0" borderId="2" xfId="0" applyNumberFormat="1" applyFont="1" applyFill="1" applyBorder="1" applyAlignment="1"/>
    <xf numFmtId="0" fontId="16" fillId="0" borderId="0" xfId="0" applyFont="1" applyFill="1" applyAlignment="1">
      <alignment vertical="center"/>
    </xf>
    <xf numFmtId="0" fontId="10" fillId="0" borderId="0" xfId="0" applyFont="1" applyFill="1" applyAlignment="1">
      <alignment vertical="center"/>
    </xf>
    <xf numFmtId="0" fontId="37" fillId="0" borderId="0" xfId="0" applyFont="1" applyFill="1" applyAlignment="1">
      <alignment vertical="center"/>
    </xf>
    <xf numFmtId="0" fontId="0" fillId="0" borderId="0" xfId="0" applyFont="1" applyFill="1" applyAlignment="1">
      <alignment vertical="center" wrapText="1"/>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wrapText="1"/>
    </xf>
    <xf numFmtId="0" fontId="15" fillId="0" borderId="35" xfId="0" applyFont="1" applyFill="1" applyBorder="1" applyAlignment="1">
      <alignment horizontal="center" vertical="center"/>
    </xf>
    <xf numFmtId="0" fontId="17" fillId="0" borderId="12" xfId="0" applyFont="1" applyFill="1" applyBorder="1" applyAlignment="1">
      <alignment vertical="center"/>
    </xf>
    <xf numFmtId="0" fontId="17" fillId="0" borderId="2" xfId="0" applyFont="1" applyFill="1" applyBorder="1" applyAlignment="1">
      <alignment horizontal="right" vertical="center"/>
    </xf>
    <xf numFmtId="0" fontId="17" fillId="0" borderId="2" xfId="0" applyFont="1" applyFill="1" applyBorder="1" applyAlignment="1">
      <alignment horizontal="right" vertical="center" wrapText="1"/>
    </xf>
    <xf numFmtId="0" fontId="18" fillId="0" borderId="12" xfId="0" applyFont="1" applyFill="1" applyBorder="1" applyAlignment="1">
      <alignment vertical="center"/>
    </xf>
    <xf numFmtId="0" fontId="18" fillId="0" borderId="2" xfId="53" applyFont="1" applyFill="1" applyBorder="1" applyAlignment="1">
      <alignment vertical="center" wrapText="1"/>
    </xf>
    <xf numFmtId="177" fontId="38" fillId="0" borderId="2" xfId="0" applyNumberFormat="1" applyFont="1" applyFill="1" applyBorder="1" applyAlignment="1">
      <alignment horizontal="right" vertical="center" wrapText="1"/>
    </xf>
    <xf numFmtId="0" fontId="18" fillId="0" borderId="2" xfId="53" applyFont="1" applyFill="1" applyBorder="1" applyAlignment="1">
      <alignment vertical="center"/>
    </xf>
    <xf numFmtId="0" fontId="18" fillId="0" borderId="2" xfId="0" applyFont="1" applyFill="1" applyBorder="1" applyAlignment="1">
      <alignment horizontal="right" vertical="center"/>
    </xf>
    <xf numFmtId="0" fontId="18" fillId="0" borderId="2" xfId="0" applyFont="1" applyFill="1" applyBorder="1" applyAlignment="1">
      <alignment horizontal="right" vertical="center" wrapText="1"/>
    </xf>
    <xf numFmtId="0" fontId="7" fillId="0" borderId="12" xfId="0" applyFont="1" applyFill="1" applyBorder="1" applyAlignment="1">
      <alignment vertical="center"/>
    </xf>
    <xf numFmtId="0" fontId="18" fillId="0" borderId="12" xfId="53" applyFont="1" applyFill="1" applyBorder="1" applyAlignment="1">
      <alignment vertical="center"/>
    </xf>
    <xf numFmtId="0" fontId="17" fillId="0" borderId="15" xfId="0" applyFont="1" applyFill="1" applyBorder="1" applyAlignment="1">
      <alignment horizontal="distributed" vertical="center"/>
    </xf>
    <xf numFmtId="0" fontId="17" fillId="0" borderId="16" xfId="0" applyFont="1" applyFill="1" applyBorder="1" applyAlignment="1">
      <alignment horizontal="right" vertical="center"/>
    </xf>
    <xf numFmtId="0" fontId="30" fillId="0" borderId="0" xfId="0" applyFont="1" applyFill="1" applyBorder="1" applyAlignment="1">
      <alignment vertical="center" wrapText="1"/>
    </xf>
    <xf numFmtId="0" fontId="30" fillId="0" borderId="0" xfId="0" applyFont="1" applyFill="1" applyBorder="1" applyAlignment="1">
      <alignment horizontal="right" vertical="center"/>
    </xf>
    <xf numFmtId="0" fontId="15" fillId="0" borderId="36" xfId="0" applyFont="1" applyFill="1" applyBorder="1" applyAlignment="1">
      <alignment horizontal="center" vertical="center" wrapText="1"/>
    </xf>
    <xf numFmtId="2" fontId="17" fillId="0" borderId="20" xfId="0" applyNumberFormat="1" applyFont="1" applyFill="1" applyBorder="1" applyAlignment="1">
      <alignment horizontal="right" vertical="center"/>
    </xf>
    <xf numFmtId="2" fontId="18" fillId="0" borderId="20" xfId="0" applyNumberFormat="1" applyFont="1" applyFill="1" applyBorder="1" applyAlignment="1">
      <alignment horizontal="right" vertical="center"/>
    </xf>
    <xf numFmtId="2" fontId="17" fillId="0" borderId="37" xfId="0" applyNumberFormat="1" applyFont="1" applyFill="1" applyBorder="1" applyAlignment="1">
      <alignment horizontal="right" vertical="center"/>
    </xf>
    <xf numFmtId="0" fontId="30" fillId="0" borderId="0" xfId="0" applyFont="1" applyFill="1" applyBorder="1" applyAlignment="1"/>
    <xf numFmtId="43" fontId="30" fillId="0" borderId="0" xfId="0" applyNumberFormat="1" applyFont="1" applyFill="1" applyBorder="1" applyAlignment="1"/>
    <xf numFmtId="0" fontId="39" fillId="0" borderId="0" xfId="0" applyFont="1" applyFill="1" applyBorder="1" applyAlignment="1">
      <alignment horizontal="center" vertical="center"/>
    </xf>
    <xf numFmtId="43" fontId="5" fillId="0" borderId="0" xfId="0" applyNumberFormat="1" applyFont="1" applyFill="1" applyBorder="1" applyAlignment="1">
      <alignment horizontal="center" vertical="center"/>
    </xf>
    <xf numFmtId="0" fontId="30" fillId="0" borderId="0" xfId="0" applyNumberFormat="1" applyFont="1" applyFill="1" applyBorder="1" applyAlignment="1">
      <alignment horizontal="right"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6" xfId="0" applyFont="1" applyFill="1" applyBorder="1" applyAlignment="1">
      <alignment horizontal="center" vertical="center"/>
    </xf>
    <xf numFmtId="176" fontId="18" fillId="0" borderId="0" xfId="0" applyNumberFormat="1" applyFont="1" applyFill="1" applyBorder="1" applyAlignment="1"/>
    <xf numFmtId="178" fontId="17" fillId="0" borderId="2" xfId="0" applyNumberFormat="1"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 xfId="0" applyFont="1" applyFill="1" applyBorder="1" applyAlignment="1"/>
    <xf numFmtId="0" fontId="14"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Border="1" applyAlignment="1">
      <alignment vertical="center" wrapText="1"/>
    </xf>
    <xf numFmtId="0" fontId="7"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7"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7" fillId="0" borderId="0" xfId="0" applyFont="1" applyFill="1" applyBorder="1" applyAlignment="1">
      <alignment vertical="center"/>
    </xf>
    <xf numFmtId="0" fontId="7" fillId="0" borderId="4"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180" fontId="6" fillId="0" borderId="2" xfId="0" applyNumberFormat="1" applyFont="1" applyFill="1" applyBorder="1" applyAlignment="1">
      <alignment horizontal="right" vertical="center" wrapText="1"/>
    </xf>
    <xf numFmtId="180" fontId="5" fillId="0" borderId="2" xfId="0" applyNumberFormat="1" applyFont="1" applyFill="1" applyBorder="1" applyAlignment="1">
      <alignment horizontal="right" vertical="center" wrapText="1"/>
    </xf>
    <xf numFmtId="0" fontId="5" fillId="0" borderId="0" xfId="0" applyFont="1" applyFill="1" applyBorder="1" applyAlignment="1">
      <alignment horizontal="right" vertical="center" wrapText="1"/>
    </xf>
    <xf numFmtId="0" fontId="5" fillId="0" borderId="2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0" xfId="0" applyFont="1" applyFill="1" applyBorder="1" applyAlignment="1">
      <alignment vertical="center" wrapText="1"/>
    </xf>
    <xf numFmtId="0" fontId="12" fillId="0" borderId="0" xfId="0" applyFont="1" applyFill="1" applyBorder="1" applyAlignment="1"/>
    <xf numFmtId="0" fontId="17" fillId="0" borderId="0" xfId="0" applyFont="1" applyFill="1" applyBorder="1" applyAlignment="1">
      <alignment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15" fillId="0" borderId="0" xfId="0"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7" fillId="0" borderId="0" xfId="0" applyFont="1" applyFill="1" applyBorder="1" applyAlignment="1">
      <alignment horizontal="right" vertical="center"/>
    </xf>
    <xf numFmtId="0" fontId="10" fillId="0" borderId="0" xfId="0" applyFont="1" applyFill="1"/>
    <xf numFmtId="0" fontId="16" fillId="0" borderId="0" xfId="0" applyFont="1" applyFill="1"/>
    <xf numFmtId="0" fontId="15" fillId="0" borderId="2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181" fontId="17" fillId="0" borderId="2" xfId="1" applyNumberFormat="1" applyFont="1" applyFill="1" applyBorder="1" applyAlignment="1">
      <alignment vertical="center"/>
    </xf>
    <xf numFmtId="181" fontId="18" fillId="0" borderId="2" xfId="1" applyNumberFormat="1" applyFont="1" applyFill="1" applyBorder="1" applyAlignment="1">
      <alignment vertical="center"/>
    </xf>
    <xf numFmtId="0" fontId="4" fillId="0" borderId="0" xfId="0" applyNumberFormat="1" applyFont="1" applyFill="1" applyBorder="1" applyAlignment="1">
      <alignment horizontal="right" vertical="center"/>
    </xf>
    <xf numFmtId="182" fontId="30" fillId="0" borderId="2" xfId="0" applyNumberFormat="1" applyFont="1" applyFill="1" applyBorder="1" applyAlignment="1">
      <alignment horizontal="center" vertical="center"/>
    </xf>
    <xf numFmtId="43" fontId="30" fillId="0" borderId="2" xfId="0" applyNumberFormat="1" applyFont="1" applyFill="1" applyBorder="1" applyAlignment="1"/>
    <xf numFmtId="0" fontId="19" fillId="0" borderId="0" xfId="0" applyFont="1" applyFill="1"/>
    <xf numFmtId="0" fontId="11" fillId="0" borderId="0" xfId="0" applyFont="1" applyFill="1"/>
    <xf numFmtId="0" fontId="15" fillId="0" borderId="0" xfId="0" applyFont="1" applyFill="1" applyBorder="1" applyAlignment="1"/>
    <xf numFmtId="0" fontId="6" fillId="0" borderId="0" xfId="0" applyFont="1" applyFill="1" applyBorder="1" applyAlignment="1">
      <alignment horizontal="center" vertical="center"/>
    </xf>
    <xf numFmtId="3" fontId="5" fillId="0" borderId="2" xfId="0" applyNumberFormat="1" applyFont="1" applyFill="1" applyBorder="1" applyAlignment="1" applyProtection="1">
      <alignment horizontal="right" vertical="center"/>
    </xf>
    <xf numFmtId="0" fontId="5" fillId="0" borderId="2" xfId="0" applyFont="1" applyFill="1" applyBorder="1" applyAlignment="1">
      <alignment horizontal="right" vertical="center"/>
    </xf>
    <xf numFmtId="0" fontId="40" fillId="0" borderId="0" xfId="0" applyFont="1" applyFill="1"/>
    <xf numFmtId="0" fontId="5" fillId="0" borderId="0" xfId="0" applyFont="1" applyFill="1" applyBorder="1" applyAlignment="1">
      <alignment shrinkToFit="1"/>
    </xf>
    <xf numFmtId="177" fontId="5" fillId="0" borderId="0" xfId="0" applyNumberFormat="1" applyFont="1" applyFill="1" applyBorder="1" applyAlignment="1">
      <alignment horizontal="right"/>
    </xf>
    <xf numFmtId="49" fontId="5" fillId="0" borderId="0" xfId="0" applyNumberFormat="1" applyFont="1" applyFill="1" applyBorder="1" applyAlignment="1"/>
    <xf numFmtId="0" fontId="32" fillId="0" borderId="0" xfId="56" applyFont="1" applyFill="1" applyBorder="1" applyAlignment="1">
      <alignment horizontal="center" vertical="center" shrinkToFit="1"/>
    </xf>
    <xf numFmtId="0" fontId="32" fillId="0" borderId="0" xfId="56" applyFont="1" applyFill="1" applyBorder="1" applyAlignment="1">
      <alignment horizontal="center" vertical="center"/>
    </xf>
    <xf numFmtId="0" fontId="30" fillId="0" borderId="0" xfId="56" applyFont="1" applyFill="1" applyBorder="1" applyAlignment="1">
      <alignment vertical="center" shrinkToFit="1"/>
    </xf>
    <xf numFmtId="177" fontId="30" fillId="0" borderId="0" xfId="56" applyNumberFormat="1" applyFont="1" applyFill="1" applyBorder="1" applyAlignment="1">
      <alignment horizontal="right" vertical="center"/>
    </xf>
    <xf numFmtId="0" fontId="25" fillId="0" borderId="2" xfId="56" applyFont="1" applyFill="1" applyBorder="1" applyAlignment="1">
      <alignment horizontal="center" vertical="center" shrinkToFit="1"/>
    </xf>
    <xf numFmtId="177" fontId="25" fillId="0" borderId="2" xfId="56" applyNumberFormat="1" applyFont="1" applyFill="1" applyBorder="1" applyAlignment="1">
      <alignment horizontal="center" vertical="center"/>
    </xf>
    <xf numFmtId="177" fontId="25" fillId="0" borderId="2" xfId="56" applyNumberFormat="1" applyFont="1" applyFill="1" applyBorder="1" applyAlignment="1">
      <alignment horizontal="right" vertical="center"/>
    </xf>
    <xf numFmtId="177" fontId="25" fillId="0" borderId="2" xfId="0" applyNumberFormat="1" applyFont="1" applyFill="1" applyBorder="1" applyAlignment="1">
      <alignment horizontal="center" vertical="center" wrapText="1"/>
    </xf>
    <xf numFmtId="3" fontId="6" fillId="0" borderId="2" xfId="0" applyNumberFormat="1" applyFont="1" applyFill="1" applyBorder="1" applyAlignment="1" applyProtection="1">
      <alignment vertical="center" shrinkToFit="1"/>
    </xf>
    <xf numFmtId="3" fontId="34" fillId="0" borderId="2" xfId="0" applyNumberFormat="1" applyFont="1" applyFill="1" applyBorder="1" applyAlignment="1" applyProtection="1">
      <alignment vertical="center" shrinkToFit="1"/>
    </xf>
    <xf numFmtId="0" fontId="7" fillId="0" borderId="2" xfId="56" applyFont="1" applyFill="1" applyBorder="1" applyAlignment="1">
      <alignment horizontal="right" vertical="center"/>
    </xf>
    <xf numFmtId="49" fontId="32" fillId="0" borderId="0" xfId="56" applyNumberFormat="1" applyFont="1" applyFill="1" applyBorder="1" applyAlignment="1">
      <alignment horizontal="center" vertical="center"/>
    </xf>
    <xf numFmtId="0" fontId="30" fillId="0" borderId="0" xfId="56" applyFont="1" applyFill="1" applyBorder="1" applyAlignment="1">
      <alignment vertical="center"/>
    </xf>
    <xf numFmtId="49" fontId="30" fillId="0" borderId="0" xfId="56" applyNumberFormat="1" applyFont="1" applyFill="1" applyBorder="1" applyAlignment="1">
      <alignment vertical="center"/>
    </xf>
    <xf numFmtId="0" fontId="25" fillId="0" borderId="2" xfId="56" applyFont="1" applyFill="1" applyBorder="1" applyAlignment="1">
      <alignment horizontal="distributed" vertical="center"/>
    </xf>
    <xf numFmtId="49" fontId="25" fillId="0" borderId="2" xfId="56" applyNumberFormat="1" applyFont="1" applyFill="1" applyBorder="1" applyAlignment="1">
      <alignment horizontal="distributed" vertical="center"/>
    </xf>
    <xf numFmtId="0" fontId="25" fillId="0" borderId="2" xfId="0"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180" fontId="7" fillId="0" borderId="2" xfId="54" applyNumberFormat="1" applyFont="1" applyFill="1" applyBorder="1" applyAlignment="1">
      <alignment horizontal="right" vertical="center"/>
    </xf>
    <xf numFmtId="49" fontId="7" fillId="0" borderId="2" xfId="54" applyNumberFormat="1" applyFont="1" applyFill="1" applyBorder="1" applyAlignment="1">
      <alignment horizontal="right" vertical="center"/>
    </xf>
    <xf numFmtId="49" fontId="7" fillId="0" borderId="2" xfId="54" applyNumberFormat="1" applyFont="1" applyFill="1" applyBorder="1" applyAlignment="1">
      <alignment horizontal="right" vertical="center"/>
    </xf>
    <xf numFmtId="180" fontId="25" fillId="0" borderId="2" xfId="54" applyNumberFormat="1" applyFont="1" applyFill="1" applyBorder="1" applyAlignment="1">
      <alignment horizontal="right" vertical="center"/>
    </xf>
    <xf numFmtId="177" fontId="18" fillId="0" borderId="1" xfId="56" applyNumberFormat="1" applyFont="1" applyFill="1" applyBorder="1" applyAlignment="1">
      <alignment horizontal="right" vertical="center"/>
    </xf>
    <xf numFmtId="0" fontId="25" fillId="0" borderId="2" xfId="56" applyFont="1" applyFill="1" applyBorder="1" applyAlignment="1">
      <alignment horizontal="center" vertical="center"/>
    </xf>
    <xf numFmtId="0" fontId="6" fillId="0" borderId="2" xfId="0" applyFont="1" applyFill="1" applyBorder="1" applyAlignment="1">
      <alignment vertical="center" shrinkToFit="1"/>
    </xf>
    <xf numFmtId="0" fontId="6" fillId="0" borderId="2" xfId="0" applyFont="1" applyFill="1" applyBorder="1" applyAlignment="1">
      <alignment vertical="center"/>
    </xf>
    <xf numFmtId="0" fontId="5" fillId="0" borderId="2" xfId="0" applyFont="1" applyFill="1" applyBorder="1" applyAlignment="1">
      <alignment vertical="center"/>
    </xf>
    <xf numFmtId="3" fontId="6" fillId="0" borderId="2" xfId="0" applyNumberFormat="1" applyFont="1" applyFill="1" applyBorder="1" applyAlignment="1" applyProtection="1">
      <alignment horizontal="left" vertical="center" shrinkToFit="1"/>
    </xf>
    <xf numFmtId="3" fontId="7" fillId="0" borderId="2" xfId="56" applyNumberFormat="1" applyFont="1" applyFill="1" applyBorder="1" applyAlignment="1" applyProtection="1">
      <alignment horizontal="left" vertical="center" shrinkToFit="1"/>
    </xf>
    <xf numFmtId="0" fontId="7" fillId="0" borderId="2" xfId="56" applyFont="1" applyFill="1" applyBorder="1" applyAlignment="1">
      <alignment horizontal="left" vertical="center" shrinkToFit="1"/>
    </xf>
    <xf numFmtId="0" fontId="25" fillId="0" borderId="38" xfId="56" applyFont="1" applyFill="1" applyBorder="1" applyAlignment="1">
      <alignment horizontal="center" vertical="center"/>
    </xf>
    <xf numFmtId="0" fontId="25" fillId="0" borderId="38" xfId="0" applyFont="1" applyFill="1" applyBorder="1" applyAlignment="1">
      <alignment horizontal="center" vertical="center" wrapText="1"/>
    </xf>
    <xf numFmtId="180" fontId="25" fillId="0" borderId="38" xfId="54" applyNumberFormat="1" applyFont="1" applyFill="1" applyBorder="1" applyAlignment="1">
      <alignment vertical="center"/>
    </xf>
    <xf numFmtId="180" fontId="7" fillId="0" borderId="38" xfId="54" applyNumberFormat="1" applyFont="1" applyFill="1" applyBorder="1" applyAlignment="1">
      <alignment vertical="center"/>
    </xf>
    <xf numFmtId="0" fontId="7" fillId="0" borderId="38" xfId="56" applyFont="1" applyFill="1" applyBorder="1" applyAlignment="1">
      <alignment vertical="center"/>
    </xf>
    <xf numFmtId="3" fontId="7" fillId="0" borderId="2" xfId="56" applyNumberFormat="1" applyFont="1" applyFill="1" applyBorder="1" applyAlignment="1" applyProtection="1">
      <alignment horizontal="right" vertical="center"/>
    </xf>
    <xf numFmtId="3" fontId="7" fillId="0" borderId="2" xfId="56" applyNumberFormat="1" applyFont="1" applyFill="1" applyBorder="1" applyAlignment="1" applyProtection="1">
      <alignment vertical="center" shrinkToFit="1"/>
    </xf>
    <xf numFmtId="177" fontId="7" fillId="0" borderId="2" xfId="56" applyNumberFormat="1" applyFont="1" applyFill="1" applyBorder="1" applyAlignment="1" applyProtection="1">
      <alignment horizontal="right" vertical="center"/>
    </xf>
    <xf numFmtId="177" fontId="7" fillId="0" borderId="2" xfId="56" applyNumberFormat="1" applyFont="1" applyFill="1" applyBorder="1" applyAlignment="1">
      <alignment horizontal="right" vertical="center"/>
    </xf>
    <xf numFmtId="180" fontId="7" fillId="0" borderId="2" xfId="54" applyNumberFormat="1" applyFont="1" applyFill="1" applyBorder="1" applyAlignment="1">
      <alignment vertical="center"/>
    </xf>
    <xf numFmtId="49" fontId="7" fillId="0" borderId="2" xfId="54" applyNumberFormat="1" applyFont="1" applyFill="1" applyBorder="1" applyAlignment="1">
      <alignment vertical="center"/>
    </xf>
    <xf numFmtId="49" fontId="7" fillId="0" borderId="2" xfId="54" applyNumberFormat="1" applyFont="1" applyFill="1" applyBorder="1" applyAlignment="1">
      <alignment vertical="center"/>
    </xf>
    <xf numFmtId="0" fontId="6" fillId="0" borderId="2" xfId="0" applyFont="1" applyFill="1" applyBorder="1" applyAlignment="1">
      <alignment horizontal="left" vertical="center" shrinkToFit="1"/>
    </xf>
    <xf numFmtId="0" fontId="25" fillId="0" borderId="2" xfId="56" applyFont="1" applyFill="1" applyBorder="1" applyAlignment="1">
      <alignment horizontal="distributed" vertical="center" shrinkToFit="1"/>
    </xf>
    <xf numFmtId="0" fontId="25" fillId="0" borderId="2" xfId="56" applyFont="1" applyFill="1" applyBorder="1" applyAlignment="1">
      <alignment horizontal="right" vertical="center"/>
    </xf>
    <xf numFmtId="0" fontId="25" fillId="0" borderId="39" xfId="56" applyFont="1" applyFill="1" applyBorder="1" applyAlignment="1">
      <alignment horizontal="distributed" vertical="center" shrinkToFit="1"/>
    </xf>
    <xf numFmtId="177" fontId="25" fillId="0" borderId="39" xfId="56" applyNumberFormat="1" applyFont="1" applyFill="1" applyBorder="1" applyAlignment="1">
      <alignment horizontal="right" vertical="center"/>
    </xf>
    <xf numFmtId="180" fontId="25" fillId="0" borderId="2" xfId="54" applyNumberFormat="1" applyFont="1" applyFill="1" applyBorder="1" applyAlignment="1">
      <alignment vertical="center"/>
    </xf>
    <xf numFmtId="49" fontId="25" fillId="0" borderId="2" xfId="54" applyNumberFormat="1" applyFont="1" applyFill="1" applyBorder="1" applyAlignment="1">
      <alignment vertical="center"/>
    </xf>
    <xf numFmtId="180" fontId="25" fillId="0" borderId="39" xfId="54" applyNumberFormat="1" applyFont="1" applyFill="1" applyBorder="1" applyAlignment="1">
      <alignment vertical="center"/>
    </xf>
    <xf numFmtId="49" fontId="25" fillId="0" borderId="39" xfId="54" applyNumberFormat="1" applyFont="1" applyFill="1" applyBorder="1" applyAlignment="1">
      <alignment vertical="center"/>
    </xf>
    <xf numFmtId="0" fontId="6" fillId="0" borderId="2" xfId="0" applyFont="1" applyFill="1" applyBorder="1" applyAlignment="1">
      <alignment vertical="center" shrinkToFit="1"/>
    </xf>
    <xf numFmtId="3" fontId="6" fillId="0" borderId="2" xfId="0" applyNumberFormat="1" applyFont="1" applyFill="1" applyBorder="1" applyAlignment="1" applyProtection="1">
      <alignment horizontal="left" vertical="center"/>
    </xf>
    <xf numFmtId="3" fontId="7" fillId="0" borderId="2" xfId="56" applyNumberFormat="1" applyFont="1" applyFill="1" applyBorder="1" applyAlignment="1" applyProtection="1">
      <alignment horizontal="left" vertical="center"/>
    </xf>
    <xf numFmtId="0" fontId="25" fillId="0" borderId="2" xfId="56" applyFont="1" applyFill="1" applyBorder="1" applyAlignment="1">
      <alignment vertical="center"/>
    </xf>
    <xf numFmtId="0" fontId="7" fillId="0" borderId="2" xfId="56" applyFont="1" applyFill="1" applyBorder="1" applyAlignment="1">
      <alignment vertical="center"/>
    </xf>
    <xf numFmtId="0" fontId="25" fillId="0" borderId="39" xfId="56" applyFont="1" applyFill="1" applyBorder="1" applyAlignment="1">
      <alignment horizontal="distributed" vertical="center"/>
    </xf>
    <xf numFmtId="180" fontId="25" fillId="0" borderId="40" xfId="54" applyNumberFormat="1" applyFont="1" applyFill="1" applyBorder="1" applyAlignment="1">
      <alignment vertical="center"/>
    </xf>
    <xf numFmtId="0" fontId="6" fillId="0" borderId="0" xfId="0" applyFont="1" applyFill="1" applyBorder="1" applyAlignment="1"/>
    <xf numFmtId="0" fontId="5" fillId="0" borderId="0" xfId="0" applyFont="1" applyFill="1" applyBorder="1" applyAlignment="1">
      <alignment horizontal="left"/>
    </xf>
    <xf numFmtId="0" fontId="5" fillId="0" borderId="0" xfId="0" applyFont="1" applyFill="1" applyBorder="1" applyAlignment="1"/>
    <xf numFmtId="0" fontId="41"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vertical="center"/>
    </xf>
    <xf numFmtId="0" fontId="6" fillId="0" borderId="7" xfId="0" applyNumberFormat="1" applyFont="1" applyFill="1" applyBorder="1" applyAlignment="1" applyProtection="1">
      <alignment horizontal="center" vertical="center"/>
    </xf>
    <xf numFmtId="0" fontId="6" fillId="0" borderId="4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top"/>
    </xf>
    <xf numFmtId="0" fontId="6" fillId="0" borderId="24" xfId="0" applyNumberFormat="1" applyFont="1" applyFill="1" applyBorder="1" applyAlignment="1" applyProtection="1">
      <alignment horizontal="center" vertical="center"/>
    </xf>
    <xf numFmtId="3" fontId="6" fillId="0" borderId="2" xfId="0" applyNumberFormat="1" applyFont="1" applyFill="1" applyBorder="1" applyAlignment="1" applyProtection="1">
      <alignment horizontal="right" vertical="center"/>
    </xf>
    <xf numFmtId="0" fontId="6" fillId="7" borderId="2" xfId="0" applyFont="1" applyFill="1" applyBorder="1" applyAlignment="1">
      <alignment horizontal="left" vertical="center"/>
    </xf>
    <xf numFmtId="0" fontId="6" fillId="7" borderId="2" xfId="0" applyFont="1" applyFill="1" applyBorder="1" applyAlignment="1">
      <alignment horizontal="right" vertical="center"/>
    </xf>
    <xf numFmtId="177" fontId="5" fillId="0" borderId="24" xfId="0" applyNumberFormat="1" applyFont="1" applyFill="1" applyBorder="1" applyAlignment="1" applyProtection="1">
      <alignment horizontal="left" vertical="center"/>
      <protection locked="0"/>
    </xf>
    <xf numFmtId="179" fontId="5" fillId="0" borderId="24" xfId="0" applyNumberFormat="1" applyFont="1" applyFill="1" applyBorder="1" applyAlignment="1" applyProtection="1">
      <alignment horizontal="left" vertical="center"/>
      <protection locked="0"/>
    </xf>
    <xf numFmtId="0" fontId="5" fillId="0" borderId="24" xfId="0" applyFont="1" applyFill="1" applyBorder="1" applyAlignment="1">
      <alignment vertical="center"/>
    </xf>
    <xf numFmtId="0" fontId="7" fillId="0" borderId="2" xfId="0" applyFont="1" applyFill="1" applyBorder="1" applyAlignment="1">
      <alignment vertical="center"/>
    </xf>
    <xf numFmtId="0" fontId="5" fillId="0" borderId="24" xfId="0" applyNumberFormat="1" applyFont="1" applyFill="1" applyBorder="1" applyAlignment="1" applyProtection="1">
      <alignment vertical="center"/>
    </xf>
    <xf numFmtId="0" fontId="6" fillId="0" borderId="7" xfId="0" applyNumberFormat="1" applyFont="1" applyFill="1" applyBorder="1" applyAlignment="1" applyProtection="1">
      <alignment horizontal="center" vertical="center" wrapText="1"/>
    </xf>
    <xf numFmtId="1" fontId="6" fillId="0" borderId="7" xfId="0" applyNumberFormat="1" applyFont="1" applyFill="1" applyBorder="1" applyAlignment="1" applyProtection="1">
      <alignment horizontal="center" vertical="center" wrapText="1"/>
    </xf>
    <xf numFmtId="1" fontId="6" fillId="0" borderId="6"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right" vertical="center" wrapText="1"/>
    </xf>
    <xf numFmtId="3" fontId="5" fillId="0" borderId="6" xfId="0" applyNumberFormat="1" applyFont="1" applyFill="1" applyBorder="1" applyAlignment="1" applyProtection="1">
      <alignment horizontal="right" vertical="center"/>
    </xf>
    <xf numFmtId="3" fontId="5" fillId="0" borderId="7" xfId="0" applyNumberFormat="1" applyFont="1" applyFill="1" applyBorder="1" applyAlignment="1" applyProtection="1">
      <alignment horizontal="right" vertical="center"/>
    </xf>
    <xf numFmtId="1" fontId="5" fillId="0" borderId="2" xfId="0" applyNumberFormat="1" applyFont="1" applyFill="1" applyBorder="1" applyAlignment="1" applyProtection="1">
      <alignment horizontal="right" vertical="center" wrapText="1"/>
    </xf>
    <xf numFmtId="0" fontId="5" fillId="0" borderId="24" xfId="0" applyFont="1" applyFill="1" applyBorder="1" applyAlignment="1">
      <alignment horizontal="right" vertical="center"/>
    </xf>
    <xf numFmtId="3" fontId="6" fillId="0" borderId="30" xfId="0" applyNumberFormat="1" applyFont="1" applyFill="1" applyBorder="1" applyAlignment="1" applyProtection="1">
      <alignment horizontal="right" vertical="center"/>
    </xf>
    <xf numFmtId="3" fontId="5" fillId="0" borderId="26" xfId="0" applyNumberFormat="1" applyFont="1" applyFill="1" applyBorder="1" applyAlignment="1" applyProtection="1">
      <alignment horizontal="right" vertical="center"/>
    </xf>
    <xf numFmtId="3" fontId="5" fillId="0" borderId="26" xfId="0" applyNumberFormat="1" applyFont="1" applyFill="1" applyBorder="1" applyAlignment="1" applyProtection="1">
      <alignment horizontal="right" vertical="center"/>
    </xf>
    <xf numFmtId="3" fontId="5" fillId="12" borderId="2" xfId="0" applyNumberFormat="1" applyFont="1" applyFill="1" applyBorder="1" applyAlignment="1" applyProtection="1">
      <alignment horizontal="right" vertical="center"/>
    </xf>
    <xf numFmtId="0" fontId="6" fillId="0" borderId="23"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6" fillId="0" borderId="0" xfId="0" applyNumberFormat="1" applyFont="1" applyFill="1" applyBorder="1" applyAlignment="1" applyProtection="1">
      <alignment horizontal="center" vertical="center" wrapText="1"/>
    </xf>
    <xf numFmtId="3" fontId="6" fillId="0" borderId="0" xfId="0" applyNumberFormat="1" applyFont="1" applyFill="1" applyBorder="1" applyAlignment="1"/>
    <xf numFmtId="3" fontId="6" fillId="0" borderId="0" xfId="0" applyNumberFormat="1" applyFont="1" applyFill="1" applyBorder="1" applyAlignment="1"/>
    <xf numFmtId="0" fontId="6" fillId="0" borderId="0" xfId="0" applyFont="1" applyFill="1" applyBorder="1" applyAlignment="1">
      <alignment horizontal="right" vertical="center"/>
    </xf>
    <xf numFmtId="0" fontId="6"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xf>
    <xf numFmtId="0" fontId="38" fillId="0" borderId="2" xfId="0" applyFont="1" applyFill="1" applyBorder="1" applyAlignment="1">
      <alignment vertical="center"/>
    </xf>
    <xf numFmtId="3" fontId="5" fillId="9" borderId="2" xfId="0" applyNumberFormat="1" applyFont="1" applyFill="1" applyBorder="1" applyAlignment="1" applyProtection="1">
      <alignment horizontal="right" vertical="center"/>
    </xf>
    <xf numFmtId="0" fontId="5" fillId="0" borderId="2" xfId="0" applyFont="1" applyFill="1" applyBorder="1" applyAlignment="1"/>
    <xf numFmtId="3" fontId="5" fillId="13" borderId="2" xfId="0" applyNumberFormat="1" applyFont="1" applyFill="1" applyBorder="1" applyAlignment="1" applyProtection="1">
      <alignment horizontal="right" vertical="center"/>
    </xf>
    <xf numFmtId="49" fontId="5" fillId="0" borderId="24" xfId="0" applyNumberFormat="1" applyFont="1" applyFill="1" applyBorder="1" applyAlignment="1" applyProtection="1">
      <alignment horizontal="left" vertical="center"/>
    </xf>
    <xf numFmtId="0" fontId="5" fillId="0" borderId="41" xfId="0" applyNumberFormat="1" applyFont="1" applyFill="1" applyBorder="1" applyAlignment="1" applyProtection="1">
      <alignment vertical="center"/>
    </xf>
    <xf numFmtId="3" fontId="5" fillId="8" borderId="2" xfId="0" applyNumberFormat="1" applyFont="1" applyFill="1" applyBorder="1" applyAlignment="1" applyProtection="1">
      <alignment horizontal="right" vertical="center"/>
    </xf>
    <xf numFmtId="3" fontId="5" fillId="0" borderId="24" xfId="0" applyNumberFormat="1" applyFont="1" applyFill="1" applyBorder="1" applyAlignment="1" applyProtection="1">
      <alignment horizontal="right" vertical="center"/>
    </xf>
    <xf numFmtId="0" fontId="5" fillId="0" borderId="39" xfId="0" applyFont="1" applyFill="1" applyBorder="1" applyAlignment="1"/>
    <xf numFmtId="0" fontId="5" fillId="0" borderId="0" xfId="0" applyFont="1" applyFill="1" applyBorder="1" applyAlignment="1">
      <alignment horizontal="right" vertical="center"/>
    </xf>
    <xf numFmtId="0" fontId="5" fillId="0" borderId="0" xfId="0" applyFont="1" applyFill="1" applyBorder="1" applyAlignment="1"/>
    <xf numFmtId="0" fontId="5" fillId="0" borderId="0" xfId="0" applyFont="1" applyFill="1" applyBorder="1" applyAlignment="1"/>
    <xf numFmtId="0" fontId="5" fillId="0" borderId="0" xfId="0" applyFont="1" applyFill="1" applyBorder="1" applyAlignment="1"/>
    <xf numFmtId="0" fontId="7" fillId="0" borderId="0" xfId="0" applyFont="1" applyFill="1" applyBorder="1" applyAlignment="1">
      <alignment vertical="center"/>
    </xf>
    <xf numFmtId="0" fontId="25"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25" fillId="0" borderId="2" xfId="0" applyFont="1" applyFill="1" applyBorder="1" applyAlignment="1">
      <alignment vertical="center"/>
    </xf>
    <xf numFmtId="1" fontId="7" fillId="0" borderId="2" xfId="0" applyNumberFormat="1" applyFont="1" applyFill="1" applyBorder="1" applyAlignment="1">
      <alignment vertical="center"/>
    </xf>
    <xf numFmtId="1" fontId="7" fillId="0" borderId="2" xfId="0" applyNumberFormat="1"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177" fontId="7" fillId="0" borderId="2" xfId="0" applyNumberFormat="1" applyFont="1" applyFill="1" applyBorder="1" applyAlignment="1" applyProtection="1">
      <alignment horizontal="left" vertical="center"/>
      <protection locked="0"/>
    </xf>
    <xf numFmtId="179" fontId="7" fillId="0" borderId="2" xfId="0" applyNumberFormat="1" applyFont="1" applyFill="1" applyBorder="1" applyAlignment="1" applyProtection="1">
      <alignment horizontal="left" vertical="center"/>
      <protection locked="0"/>
    </xf>
    <xf numFmtId="177" fontId="38" fillId="0" borderId="2" xfId="0" applyNumberFormat="1" applyFont="1" applyFill="1" applyBorder="1" applyAlignment="1" applyProtection="1">
      <alignment horizontal="left" vertical="center"/>
      <protection locked="0"/>
    </xf>
    <xf numFmtId="1" fontId="38" fillId="0" borderId="2" xfId="0" applyNumberFormat="1" applyFont="1" applyFill="1" applyBorder="1" applyAlignment="1">
      <alignment vertical="center"/>
    </xf>
    <xf numFmtId="0" fontId="18" fillId="0" borderId="0" xfId="0" applyFont="1" applyFill="1" applyBorder="1" applyAlignment="1">
      <alignment horizontal="right" vertical="center"/>
    </xf>
    <xf numFmtId="180" fontId="25" fillId="0" borderId="2" xfId="53" applyNumberFormat="1" applyFont="1" applyFill="1" applyBorder="1" applyAlignment="1">
      <alignment vertical="center"/>
    </xf>
    <xf numFmtId="180" fontId="7" fillId="0" borderId="2" xfId="53" applyNumberFormat="1" applyFont="1" applyFill="1" applyBorder="1" applyAlignment="1">
      <alignment vertical="center"/>
    </xf>
    <xf numFmtId="0" fontId="7" fillId="0" borderId="2" xfId="0" applyFont="1" applyFill="1" applyBorder="1" applyAlignment="1">
      <alignment horizontal="left" vertical="center"/>
    </xf>
    <xf numFmtId="1" fontId="7" fillId="0" borderId="2" xfId="0" applyNumberFormat="1" applyFont="1" applyFill="1" applyBorder="1" applyAlignment="1">
      <alignment horizontal="right" vertical="center"/>
    </xf>
    <xf numFmtId="0" fontId="25" fillId="0" borderId="2" xfId="0" applyFont="1" applyFill="1" applyBorder="1" applyAlignment="1">
      <alignment horizontal="left" vertical="center"/>
    </xf>
    <xf numFmtId="1" fontId="25" fillId="0" borderId="2" xfId="0" applyNumberFormat="1" applyFont="1" applyFill="1" applyBorder="1" applyAlignment="1">
      <alignment vertical="center"/>
    </xf>
    <xf numFmtId="1" fontId="30" fillId="0" borderId="0" xfId="0" applyNumberFormat="1" applyFont="1" applyFill="1" applyBorder="1" applyAlignment="1">
      <alignment vertical="center"/>
    </xf>
    <xf numFmtId="0" fontId="15" fillId="0" borderId="0" xfId="0" applyFont="1" applyFill="1" applyBorder="1" applyAlignment="1">
      <alignment horizontal="fill" vertical="center"/>
    </xf>
    <xf numFmtId="0" fontId="43" fillId="0" borderId="0" xfId="0" applyFont="1" applyFill="1" applyBorder="1" applyAlignment="1"/>
    <xf numFmtId="0" fontId="44" fillId="0" borderId="0" xfId="0" applyFont="1" applyFill="1" applyBorder="1" applyAlignment="1"/>
    <xf numFmtId="0" fontId="32" fillId="0" borderId="0" xfId="55" applyFont="1" applyFill="1" applyBorder="1" applyAlignment="1">
      <alignment horizontal="center" vertical="center"/>
    </xf>
    <xf numFmtId="0" fontId="30" fillId="0" borderId="0" xfId="55" applyFont="1" applyFill="1" applyBorder="1" applyAlignment="1">
      <alignment vertical="center"/>
    </xf>
    <xf numFmtId="0" fontId="45" fillId="0" borderId="25" xfId="55" applyFont="1" applyFill="1" applyBorder="1" applyAlignment="1">
      <alignment horizontal="center" vertical="center"/>
    </xf>
    <xf numFmtId="3" fontId="5" fillId="12" borderId="14" xfId="0" applyNumberFormat="1" applyFont="1" applyFill="1" applyBorder="1" applyAlignment="1" applyProtection="1">
      <alignment horizontal="right" vertical="center"/>
    </xf>
    <xf numFmtId="3" fontId="5" fillId="12" borderId="7" xfId="0" applyNumberFormat="1" applyFont="1" applyFill="1" applyBorder="1" applyAlignment="1" applyProtection="1">
      <alignment horizontal="right" vertical="center"/>
    </xf>
    <xf numFmtId="0" fontId="7" fillId="9" borderId="2" xfId="55" applyFont="1" applyFill="1" applyBorder="1" applyAlignment="1">
      <alignment vertical="center"/>
    </xf>
    <xf numFmtId="0" fontId="5" fillId="9" borderId="2" xfId="0" applyNumberFormat="1" applyFont="1" applyFill="1" applyBorder="1" applyAlignment="1" applyProtection="1">
      <alignment horizontal="right" vertical="center"/>
    </xf>
    <xf numFmtId="0" fontId="6" fillId="0" borderId="2" xfId="55" applyFont="1" applyFill="1" applyBorder="1" applyAlignment="1">
      <alignment horizontal="center" vertical="center" wrapText="1"/>
    </xf>
    <xf numFmtId="2" fontId="7" fillId="0" borderId="2" xfId="55" applyNumberFormat="1" applyFont="1" applyFill="1" applyBorder="1" applyAlignment="1">
      <alignment vertical="center"/>
    </xf>
    <xf numFmtId="0" fontId="5" fillId="0" borderId="1" xfId="55" applyFont="1" applyFill="1" applyBorder="1" applyAlignment="1">
      <alignment horizontal="center" vertical="center"/>
    </xf>
    <xf numFmtId="0" fontId="5" fillId="0" borderId="1" xfId="55" applyFont="1" applyFill="1" applyBorder="1" applyAlignment="1">
      <alignment vertical="center"/>
    </xf>
    <xf numFmtId="0" fontId="46" fillId="0" borderId="2" xfId="55" applyFont="1" applyFill="1" applyBorder="1" applyAlignment="1">
      <alignment horizontal="center" vertical="center"/>
    </xf>
    <xf numFmtId="2" fontId="7" fillId="0" borderId="2" xfId="0" applyNumberFormat="1" applyFont="1" applyFill="1" applyBorder="1" applyAlignment="1">
      <alignment vertical="center"/>
    </xf>
    <xf numFmtId="0" fontId="0" fillId="0" borderId="0" xfId="0" applyFill="1" applyBorder="1" applyAlignment="1">
      <alignment vertical="center"/>
    </xf>
    <xf numFmtId="0" fontId="32" fillId="0" borderId="0" xfId="53" applyFont="1" applyFill="1" applyBorder="1" applyAlignment="1">
      <alignment horizontal="center" vertical="center"/>
    </xf>
    <xf numFmtId="0" fontId="30" fillId="0" borderId="0" xfId="53" applyFont="1" applyFill="1" applyBorder="1" applyAlignment="1">
      <alignment vertical="center"/>
    </xf>
    <xf numFmtId="0" fontId="17" fillId="0" borderId="34" xfId="53" applyFont="1" applyFill="1" applyBorder="1" applyAlignment="1">
      <alignment horizontal="center" vertical="center"/>
    </xf>
    <xf numFmtId="0" fontId="17" fillId="0" borderId="35" xfId="53" applyFont="1" applyFill="1" applyBorder="1" applyAlignment="1">
      <alignment horizontal="center" vertical="center" wrapText="1"/>
    </xf>
    <xf numFmtId="0" fontId="17" fillId="0" borderId="12" xfId="53" applyFont="1" applyFill="1" applyBorder="1" applyAlignment="1">
      <alignment vertical="center"/>
    </xf>
    <xf numFmtId="0" fontId="17" fillId="0" borderId="2" xfId="53" applyFont="1" applyFill="1" applyBorder="1" applyAlignment="1">
      <alignment vertical="center"/>
    </xf>
    <xf numFmtId="0" fontId="17" fillId="0" borderId="15" xfId="53" applyFont="1" applyFill="1" applyBorder="1" applyAlignment="1">
      <alignment horizontal="distributed" vertical="center"/>
    </xf>
    <xf numFmtId="0" fontId="17" fillId="0" borderId="16" xfId="53" applyFont="1" applyFill="1" applyBorder="1" applyAlignment="1">
      <alignment vertical="center"/>
    </xf>
    <xf numFmtId="0" fontId="0" fillId="0" borderId="0" xfId="53" applyFill="1" applyBorder="1" applyAlignment="1">
      <alignment horizontal="left" vertical="center" wrapText="1"/>
    </xf>
    <xf numFmtId="0" fontId="0" fillId="0" borderId="0" xfId="53" applyFont="1" applyFill="1" applyBorder="1" applyAlignment="1">
      <alignment horizontal="left" vertical="center" wrapText="1"/>
    </xf>
    <xf numFmtId="0" fontId="30" fillId="0" borderId="0" xfId="53" applyFont="1" applyFill="1" applyBorder="1" applyAlignment="1">
      <alignment horizontal="center" vertical="center"/>
    </xf>
    <xf numFmtId="0" fontId="12" fillId="0" borderId="0" xfId="53" applyFont="1" applyFill="1" applyBorder="1" applyAlignment="1">
      <alignment horizontal="center" vertical="center"/>
    </xf>
    <xf numFmtId="0" fontId="17" fillId="0" borderId="42" xfId="53" applyFont="1" applyFill="1" applyBorder="1" applyAlignment="1">
      <alignment horizontal="center" vertical="center" wrapText="1"/>
    </xf>
    <xf numFmtId="180" fontId="17" fillId="0" borderId="2" xfId="53" applyNumberFormat="1" applyFont="1" applyFill="1" applyBorder="1" applyAlignment="1">
      <alignment vertical="center"/>
    </xf>
    <xf numFmtId="2" fontId="15" fillId="0" borderId="43" xfId="0" applyNumberFormat="1" applyFont="1" applyFill="1" applyBorder="1" applyAlignment="1">
      <alignment vertical="center"/>
    </xf>
    <xf numFmtId="180" fontId="18" fillId="0" borderId="2" xfId="53" applyNumberFormat="1" applyFont="1" applyFill="1" applyBorder="1" applyAlignment="1">
      <alignment vertical="center"/>
    </xf>
    <xf numFmtId="2" fontId="30" fillId="0" borderId="43" xfId="0" applyNumberFormat="1" applyFont="1" applyFill="1" applyBorder="1" applyAlignment="1">
      <alignment vertical="center"/>
    </xf>
    <xf numFmtId="2" fontId="12" fillId="0" borderId="43" xfId="0" applyNumberFormat="1" applyFont="1" applyFill="1" applyBorder="1" applyAlignment="1">
      <alignment vertical="center"/>
    </xf>
    <xf numFmtId="180" fontId="17" fillId="0" borderId="16" xfId="53" applyNumberFormat="1" applyFont="1" applyFill="1" applyBorder="1" applyAlignment="1">
      <alignment vertical="center"/>
    </xf>
    <xf numFmtId="2" fontId="42" fillId="0" borderId="44" xfId="0" applyNumberFormat="1" applyFont="1" applyFill="1" applyBorder="1" applyAlignment="1">
      <alignment vertical="center"/>
    </xf>
    <xf numFmtId="0" fontId="47" fillId="0" borderId="0" xfId="0" applyFont="1" applyFill="1" applyAlignment="1">
      <alignment vertical="center"/>
    </xf>
    <xf numFmtId="0" fontId="48" fillId="0" borderId="0" xfId="0" applyFont="1" applyFill="1" applyAlignment="1">
      <alignment horizontal="center" vertical="center"/>
    </xf>
    <xf numFmtId="0" fontId="49" fillId="0" borderId="0" xfId="0" applyFont="1" applyFill="1" applyAlignment="1">
      <alignment horizontal="left" vertical="center"/>
    </xf>
    <xf numFmtId="0" fontId="47" fillId="0" borderId="0" xfId="0" applyFont="1" applyFill="1" applyAlignment="1">
      <alignment horizontal="left" vertical="center"/>
    </xf>
    <xf numFmtId="0" fontId="49" fillId="0" borderId="0" xfId="0" applyFont="1" applyFill="1" applyAlignment="1">
      <alignment vertical="center"/>
    </xf>
    <xf numFmtId="0" fontId="47" fillId="2" borderId="0" xfId="0" applyFont="1" applyFill="1" applyAlignment="1">
      <alignment vertical="center"/>
    </xf>
    <xf numFmtId="0" fontId="48" fillId="0" borderId="0" xfId="0" applyFont="1" applyFill="1" applyAlignment="1">
      <alignment vertical="center"/>
    </xf>
    <xf numFmtId="0" fontId="49" fillId="0" borderId="0" xfId="0" applyFont="1" applyFill="1" applyAlignment="1" quotePrefix="1">
      <alignment horizontal="left" vertical="center"/>
    </xf>
    <xf numFmtId="0" fontId="47" fillId="0" borderId="0" xfId="0" applyFont="1" applyFill="1" applyAlignment="1" quotePrefix="1">
      <alignment horizontal="left" vertical="center"/>
    </xf>
    <xf numFmtId="0" fontId="32" fillId="0" borderId="0" xfId="53" applyFont="1" applyFill="1" applyBorder="1" applyAlignment="1" quotePrefix="1">
      <alignment horizontal="center" vertical="center"/>
    </xf>
    <xf numFmtId="0" fontId="17" fillId="0" borderId="35" xfId="53" applyFont="1" applyFill="1" applyBorder="1" applyAlignment="1" quotePrefix="1">
      <alignment horizontal="center" vertical="center" wrapText="1"/>
    </xf>
    <xf numFmtId="0" fontId="18" fillId="0" borderId="12" xfId="0" applyFont="1" applyFill="1" applyBorder="1" applyAlignment="1" quotePrefix="1">
      <alignment horizontal="left" vertical="center"/>
    </xf>
    <xf numFmtId="0" fontId="32" fillId="0" borderId="0" xfId="55" applyFont="1" applyFill="1" applyBorder="1" applyAlignment="1" quotePrefix="1">
      <alignment horizontal="center" vertical="center"/>
    </xf>
    <xf numFmtId="0" fontId="6" fillId="0" borderId="2" xfId="55" applyFont="1" applyFill="1" applyBorder="1" applyAlignment="1" quotePrefix="1">
      <alignment horizontal="center" vertical="center"/>
    </xf>
    <xf numFmtId="0" fontId="6" fillId="0" borderId="2" xfId="55" applyFont="1" applyFill="1" applyBorder="1" applyAlignment="1" quotePrefix="1">
      <alignment horizontal="center" vertical="center" wrapText="1"/>
    </xf>
    <xf numFmtId="1" fontId="25" fillId="0" borderId="2" xfId="55" applyNumberFormat="1" applyFont="1" applyFill="1" applyBorder="1" applyAlignment="1" applyProtection="1" quotePrefix="1">
      <alignment horizontal="left" vertical="center"/>
      <protection locked="0"/>
    </xf>
    <xf numFmtId="0" fontId="5" fillId="0" borderId="2" xfId="0" applyNumberFormat="1" applyFont="1" applyFill="1" applyBorder="1" applyAlignment="1" applyProtection="1" quotePrefix="1">
      <alignment horizontal="left" vertical="center"/>
    </xf>
    <xf numFmtId="1" fontId="25" fillId="0" borderId="2" xfId="0" applyNumberFormat="1" applyFont="1" applyFill="1" applyBorder="1" applyAlignment="1" applyProtection="1" quotePrefix="1">
      <alignment horizontal="left" vertical="center"/>
      <protection locked="0"/>
    </xf>
    <xf numFmtId="1" fontId="7" fillId="0" borderId="2" xfId="55" applyNumberFormat="1" applyFont="1" applyFill="1" applyBorder="1" applyAlignment="1" applyProtection="1" quotePrefix="1">
      <alignment horizontal="left" vertical="center"/>
      <protection locked="0"/>
    </xf>
    <xf numFmtId="0" fontId="32" fillId="0" borderId="0" xfId="0" applyFont="1" applyFill="1" applyBorder="1" applyAlignment="1" quotePrefix="1">
      <alignment horizontal="center" vertical="center"/>
    </xf>
    <xf numFmtId="0" fontId="6" fillId="0" borderId="2" xfId="0" applyFont="1" applyFill="1" applyBorder="1" applyAlignment="1" quotePrefix="1">
      <alignment horizontal="center" vertical="center" wrapText="1"/>
    </xf>
    <xf numFmtId="0" fontId="7" fillId="0" borderId="2" xfId="0" applyFont="1" applyFill="1" applyBorder="1" applyAlignment="1" quotePrefix="1">
      <alignment horizontal="left" vertical="center"/>
    </xf>
    <xf numFmtId="0" fontId="25" fillId="0" borderId="2" xfId="0" applyFont="1" applyFill="1" applyBorder="1" applyAlignment="1" quotePrefix="1">
      <alignment horizontal="left" vertical="center"/>
    </xf>
    <xf numFmtId="0" fontId="15" fillId="0" borderId="0" xfId="0" applyFont="1" applyFill="1" applyBorder="1" applyAlignment="1" quotePrefix="1">
      <alignment horizontal="fill" vertical="center"/>
    </xf>
    <xf numFmtId="0" fontId="41" fillId="0" borderId="0" xfId="0" applyNumberFormat="1" applyFont="1" applyFill="1" applyBorder="1" applyAlignment="1" applyProtection="1" quotePrefix="1">
      <alignment horizontal="center" vertical="center"/>
    </xf>
    <xf numFmtId="0" fontId="6" fillId="0" borderId="23" xfId="0" applyNumberFormat="1" applyFont="1" applyFill="1" applyBorder="1" applyAlignment="1" applyProtection="1" quotePrefix="1">
      <alignment horizontal="center" vertical="center" wrapText="1"/>
    </xf>
    <xf numFmtId="0" fontId="6" fillId="0" borderId="6" xfId="0" applyNumberFormat="1" applyFont="1" applyFill="1" applyBorder="1" applyAlignment="1" applyProtection="1" quotePrefix="1">
      <alignment horizontal="center" vertical="center" wrapText="1"/>
    </xf>
    <xf numFmtId="1" fontId="6" fillId="0" borderId="7" xfId="0" applyNumberFormat="1" applyFont="1" applyFill="1" applyBorder="1" applyAlignment="1" applyProtection="1" quotePrefix="1">
      <alignment horizontal="center" vertical="center" wrapText="1"/>
    </xf>
    <xf numFmtId="0" fontId="6" fillId="0" borderId="7" xfId="0" applyNumberFormat="1" applyFont="1" applyFill="1" applyBorder="1" applyAlignment="1" applyProtection="1" quotePrefix="1">
      <alignment horizontal="center" vertical="center" wrapText="1"/>
    </xf>
    <xf numFmtId="0" fontId="5" fillId="0" borderId="24" xfId="0" applyNumberFormat="1" applyFont="1" applyFill="1" applyBorder="1" applyAlignment="1" applyProtection="1" quotePrefix="1">
      <alignment horizontal="left" vertical="center"/>
    </xf>
    <xf numFmtId="49" fontId="5" fillId="0" borderId="2" xfId="0" applyNumberFormat="1" applyFont="1" applyFill="1" applyBorder="1" applyAlignment="1" applyProtection="1" quotePrefix="1">
      <alignment horizontal="left" vertical="center"/>
    </xf>
    <xf numFmtId="0" fontId="6" fillId="7" borderId="2" xfId="0" applyFont="1" applyFill="1" applyBorder="1" applyAlignment="1" quotePrefix="1">
      <alignment horizontal="left" vertical="center"/>
    </xf>
    <xf numFmtId="0" fontId="32" fillId="0" borderId="0" xfId="56" applyFont="1" applyFill="1" applyBorder="1" applyAlignment="1" quotePrefix="1">
      <alignment horizontal="center" vertical="center" shrinkToFit="1"/>
    </xf>
    <xf numFmtId="177" fontId="25" fillId="0" borderId="2" xfId="0" applyNumberFormat="1" applyFont="1" applyFill="1" applyBorder="1" applyAlignment="1" quotePrefix="1">
      <alignment horizontal="center" vertical="center" wrapText="1"/>
    </xf>
    <xf numFmtId="0" fontId="6" fillId="0" borderId="6" xfId="0" applyFont="1" applyFill="1" applyBorder="1" applyAlignment="1" quotePrefix="1">
      <alignment horizontal="center" vertical="center" wrapText="1"/>
    </xf>
    <xf numFmtId="0" fontId="17" fillId="0" borderId="2" xfId="0" applyFont="1" applyFill="1" applyBorder="1" applyAlignment="1" quotePrefix="1">
      <alignment horizontal="center" vertical="center" wrapText="1"/>
    </xf>
    <xf numFmtId="0" fontId="17" fillId="0" borderId="14" xfId="0" applyFont="1" applyFill="1" applyBorder="1" applyAlignment="1" quotePrefix="1">
      <alignment horizontal="left" vertical="center"/>
    </xf>
    <xf numFmtId="0" fontId="18" fillId="0" borderId="2" xfId="0" applyFont="1" applyFill="1" applyBorder="1" applyAlignment="1" quotePrefix="1">
      <alignment horizontal="left" vertical="center"/>
    </xf>
    <xf numFmtId="0" fontId="17" fillId="0" borderId="2" xfId="0" applyFont="1" applyFill="1" applyBorder="1" applyAlignment="1" quotePrefix="1">
      <alignment horizontal="left" vertical="center"/>
    </xf>
    <xf numFmtId="0" fontId="6" fillId="0" borderId="24" xfId="0" applyFont="1" applyFill="1" applyBorder="1" applyAlignment="1" quotePrefix="1">
      <alignment horizontal="center" vertical="center"/>
    </xf>
    <xf numFmtId="0" fontId="6" fillId="0" borderId="3" xfId="0" applyFont="1" applyFill="1" applyBorder="1" applyAlignment="1" quotePrefix="1">
      <alignment horizontal="center" vertical="center"/>
    </xf>
    <xf numFmtId="0" fontId="32" fillId="0" borderId="0" xfId="0" applyFont="1" applyFill="1" applyBorder="1" applyAlignment="1" quotePrefix="1">
      <alignment horizontal="center" vertical="center" wrapText="1"/>
    </xf>
    <xf numFmtId="0" fontId="5" fillId="0" borderId="2" xfId="0" applyFont="1" applyFill="1" applyBorder="1" applyAlignment="1" quotePrefix="1">
      <alignment horizontal="center" vertical="center" wrapText="1"/>
    </xf>
    <xf numFmtId="0" fontId="5" fillId="0" borderId="24" xfId="0" applyFont="1" applyFill="1" applyBorder="1" applyAlignment="1" quotePrefix="1">
      <alignment horizontal="center" vertical="center" wrapText="1"/>
    </xf>
    <xf numFmtId="0" fontId="6" fillId="0" borderId="2" xfId="0" applyFont="1" applyFill="1" applyBorder="1" applyAlignment="1" quotePrefix="1">
      <alignment horizontal="left" vertical="center" wrapText="1"/>
    </xf>
    <xf numFmtId="0" fontId="39" fillId="0" borderId="0" xfId="0" applyFont="1" applyFill="1" applyBorder="1" applyAlignment="1" quotePrefix="1">
      <alignment horizontal="center" vertical="center"/>
    </xf>
    <xf numFmtId="0" fontId="15" fillId="0" borderId="35" xfId="0" applyFont="1" applyFill="1" applyBorder="1" applyAlignment="1" quotePrefix="1">
      <alignment horizontal="center" vertical="center" wrapText="1"/>
    </xf>
    <xf numFmtId="0" fontId="15" fillId="0" borderId="36" xfId="0" applyFont="1" applyFill="1" applyBorder="1" applyAlignment="1" quotePrefix="1">
      <alignment horizontal="center" vertical="center" wrapText="1"/>
    </xf>
    <xf numFmtId="49" fontId="31" fillId="0" borderId="0" xfId="0" applyNumberFormat="1" applyFont="1" applyFill="1" applyBorder="1" applyAlignment="1" quotePrefix="1">
      <alignment horizontal="center" vertical="center"/>
    </xf>
    <xf numFmtId="0" fontId="6" fillId="0" borderId="2" xfId="0" applyNumberFormat="1" applyFont="1" applyFill="1" applyBorder="1" applyAlignment="1" quotePrefix="1">
      <alignment horizontal="center" vertical="center"/>
    </xf>
    <xf numFmtId="0" fontId="6" fillId="0" borderId="2" xfId="0" applyFont="1" applyFill="1" applyBorder="1" applyAlignment="1" quotePrefix="1">
      <alignment horizontal="center" vertical="center"/>
    </xf>
    <xf numFmtId="0" fontId="6" fillId="0" borderId="2" xfId="0" applyFont="1" applyFill="1" applyBorder="1" applyAlignment="1" quotePrefix="1">
      <alignment horizontal="left" vertical="center"/>
    </xf>
    <xf numFmtId="177" fontId="5" fillId="0" borderId="2" xfId="0" applyNumberFormat="1" applyFont="1" applyFill="1" applyBorder="1" applyAlignment="1" applyProtection="1" quotePrefix="1">
      <alignment horizontal="left" vertical="center"/>
      <protection locked="0"/>
    </xf>
    <xf numFmtId="179" fontId="6" fillId="4" borderId="2" xfId="0" applyNumberFormat="1" applyFont="1" applyFill="1" applyBorder="1" applyAlignment="1" applyProtection="1" quotePrefix="1">
      <alignment horizontal="left" vertical="center"/>
      <protection locked="0"/>
    </xf>
    <xf numFmtId="49" fontId="5" fillId="0" borderId="2" xfId="0" applyNumberFormat="1" applyFont="1" applyFill="1" applyBorder="1" applyAlignment="1" quotePrefix="1">
      <alignment horizontal="left" vertical="center"/>
    </xf>
    <xf numFmtId="0" fontId="5" fillId="0" borderId="2" xfId="0" applyFont="1" applyFill="1" applyBorder="1" applyAlignment="1" quotePrefix="1">
      <alignment horizontal="left" vertical="center"/>
    </xf>
    <xf numFmtId="49" fontId="4" fillId="0" borderId="2" xfId="0" applyNumberFormat="1" applyFont="1" applyFill="1" applyBorder="1" applyAlignment="1" quotePrefix="1">
      <alignment horizontal="left" vertical="center"/>
    </xf>
    <xf numFmtId="0" fontId="26" fillId="0" borderId="0" xfId="0" applyNumberFormat="1" applyFont="1" applyFill="1" applyAlignment="1" applyProtection="1" quotePrefix="1">
      <alignment horizontal="center" vertical="center"/>
    </xf>
    <xf numFmtId="0" fontId="6" fillId="0" borderId="32" xfId="0" applyFont="1" applyFill="1" applyBorder="1" applyAlignment="1" quotePrefix="1">
      <alignment horizontal="left" vertical="center" wrapText="1"/>
    </xf>
    <xf numFmtId="0" fontId="5" fillId="0" borderId="32" xfId="0" applyFont="1" applyFill="1" applyBorder="1" applyAlignment="1" quotePrefix="1">
      <alignment horizontal="center" vertical="center" wrapText="1"/>
    </xf>
    <xf numFmtId="0" fontId="21" fillId="0" borderId="0" xfId="55" applyFont="1" applyFill="1" applyAlignment="1" quotePrefix="1">
      <alignment horizontal="center" vertical="center"/>
    </xf>
    <xf numFmtId="0" fontId="25" fillId="0" borderId="2" xfId="55" applyFont="1" applyFill="1" applyBorder="1" applyAlignment="1" quotePrefix="1">
      <alignment horizontal="center" vertical="center"/>
    </xf>
    <xf numFmtId="0" fontId="21" fillId="0" borderId="0" xfId="0" applyFont="1" applyFill="1" applyAlignment="1" quotePrefix="1">
      <alignment horizontal="center" vertical="center"/>
    </xf>
    <xf numFmtId="0" fontId="11" fillId="0" borderId="6" xfId="0" applyFont="1" applyFill="1" applyBorder="1" applyAlignment="1" quotePrefix="1">
      <alignment horizontal="center" vertical="center" wrapText="1"/>
    </xf>
    <xf numFmtId="0" fontId="11" fillId="0" borderId="30" xfId="0" applyFont="1" applyFill="1" applyBorder="1" applyAlignment="1" quotePrefix="1">
      <alignment horizontal="center" vertical="center" wrapText="1"/>
    </xf>
    <xf numFmtId="0" fontId="4" fillId="0" borderId="2" xfId="0" applyNumberFormat="1" applyFont="1" applyFill="1" applyBorder="1" applyAlignment="1" applyProtection="1" quotePrefix="1">
      <alignment horizontal="left" vertical="center"/>
    </xf>
    <xf numFmtId="0" fontId="20" fillId="0" borderId="0" xfId="0" applyNumberFormat="1" applyFont="1" applyFill="1" applyAlignment="1" applyProtection="1" quotePrefix="1">
      <alignment horizontal="center" vertical="center"/>
    </xf>
    <xf numFmtId="0" fontId="13" fillId="0" borderId="0" xfId="0" applyFont="1" applyFill="1" applyAlignment="1" quotePrefix="1">
      <alignment horizontal="center" vertical="center"/>
    </xf>
    <xf numFmtId="0" fontId="17" fillId="0" borderId="13" xfId="0" applyFont="1" applyFill="1" applyBorder="1" applyAlignment="1" quotePrefix="1">
      <alignment horizontal="left" vertical="center"/>
    </xf>
    <xf numFmtId="0" fontId="17" fillId="0" borderId="12" xfId="0" applyFont="1" applyFill="1" applyBorder="1" applyAlignment="1" quotePrefix="1">
      <alignment horizontal="left" vertical="center"/>
    </xf>
    <xf numFmtId="0" fontId="9" fillId="0" borderId="0" xfId="0" applyFont="1" applyFill="1" applyBorder="1" applyAlignment="1" quotePrefix="1">
      <alignment horizontal="center" vertical="center"/>
    </xf>
    <xf numFmtId="0" fontId="5" fillId="0" borderId="2" xfId="0" applyFont="1" applyFill="1" applyBorder="1" applyAlignment="1" quotePrefix="1">
      <alignment horizontal="center" vertical="center"/>
    </xf>
    <xf numFmtId="0" fontId="4" fillId="0" borderId="2" xfId="0" applyFont="1" applyBorder="1" applyAlignment="1" quotePrefix="1">
      <alignment horizontal="center" vertical="center"/>
    </xf>
    <xf numFmtId="0" fontId="4" fillId="0" borderId="2" xfId="0" applyFont="1" applyBorder="1" applyAlignment="1" quotePrefix="1">
      <alignment horizontal="center" vertical="center" wrapText="1"/>
    </xf>
    <xf numFmtId="0" fontId="3" fillId="0" borderId="0" xfId="0" applyFont="1" applyFill="1" applyBorder="1" applyAlignment="1" quotePrefix="1">
      <alignment horizontal="center" vertical="center" wrapText="1"/>
    </xf>
    <xf numFmtId="0" fontId="5" fillId="0" borderId="3" xfId="0" applyFont="1" applyFill="1" applyBorder="1" applyAlignment="1" quotePrefix="1">
      <alignment horizontal="center" vertical="center" wrapText="1"/>
    </xf>
    <xf numFmtId="0" fontId="2" fillId="0" borderId="0" xfId="0" applyFont="1" applyFill="1" applyBorder="1" applyAlignment="1" quotePrefix="1">
      <alignment horizontal="center" vertical="center"/>
    </xf>
    <xf numFmtId="0" fontId="5" fillId="0" borderId="2" xfId="0" applyFont="1" applyFill="1" applyBorder="1" applyAlignment="1" quotePrefix="1">
      <alignment horizontal="left" vertical="center" wrapText="1"/>
    </xf>
    <xf numFmtId="0" fontId="2" fillId="0" borderId="0" xfId="0" applyFont="1" applyFill="1" applyBorder="1" applyAlignment="1" quotePrefix="1">
      <alignment horizontal="left"/>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 name="常规 4" xfId="52"/>
    <cellStyle name="常规_Sheet1" xfId="53"/>
    <cellStyle name="常规_Sheet10" xfId="54"/>
    <cellStyle name="常规_Sheet3" xfId="55"/>
    <cellStyle name="常规_Sheet9" xfId="56"/>
  </cellStyles>
  <tableStyles count="0" defaultTableStyle="TableStyleMedium9" defaultPivotStyle="PivotStyleLight16"/>
  <colors>
    <mruColors>
      <color rgb="0000B0F0"/>
      <color rgb="00FFFF00"/>
      <color rgb="00FF0000"/>
      <color rgb="00EBF1DE"/>
      <color rgb="00DAEEF3"/>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gxxc/EXTERNAL_USB/2025&#21518;&#26700;&#38754;/2025&#24180;&#39044;&#31639;&#25191;&#34892;&#24773;&#20917;&#21644;2026&#24180;&#36130;&#25919;&#39044;&#31639;&#65288;&#33609;&#26696;&#65289;&#25253;&#21578;&#65288;&#23450;&#31295;&#65289;/2025&#24180;&#39044;&#31639;&#25191;&#34892;&#24773;&#20917;&#21644;2026&#24180;&#36130;&#25919;&#39044;&#31639;&#65288;&#33609;&#26696;&#65289;&#25253;&#21578;&#65288;&#23450;&#31295;&#65289;/2025&#24180;&#39044;&#31639;&#25191;&#34892;&#24773;&#20917;&#21644;2026&#24180;&#36130;&#25919;&#39044;&#31639;&#65288;&#33609;&#26696;&#65289;&#25253;&#21578;&#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一、2025年公共财政预算收入执行情况表"/>
      <sheetName val="√表二、2025年预算平衡情况表"/>
      <sheetName val="√表三、2025年公共财政支出预算执行情况表"/>
      <sheetName val="√表四、2025年公共财政支出变动表"/>
      <sheetName val="√表五、2025年政府性基金收支执行明细表 "/>
      <sheetName val="√表六、2025年政府性基金支出来源情况表 "/>
      <sheetName val="√表七、2025年社保基金执行情况"/>
      <sheetName val="√表八、2025年国有资本经营执行情况表"/>
      <sheetName val="√表九、2025年三公经费执行情况表"/>
      <sheetName val="√表十、2025年其他社保基金执行情况"/>
      <sheetName val="√表十一、2026年一般公共预算收入表"/>
      <sheetName val="√表十二、2026年一般公共预算支出表"/>
      <sheetName val="√表十三、2026年一般公共预算平衡表"/>
      <sheetName val="√表十四、2026年一般公共预算支出资金来源情况表"/>
      <sheetName val="√表十五、2026年政府性基金预算收支表"/>
      <sheetName val="√表十六、2026年政府性基金预算收支明细表"/>
      <sheetName val="√表十七、2026年政府性基金预算支出资金来源情况表"/>
      <sheetName val="√表十八、2026年社会保险金预算"/>
      <sheetName val="√表十九、2026年国有资本经营预算收支总表"/>
      <sheetName val="√表二十、2026年三公经费预算表"/>
      <sheetName val="√表二十一、2026年一般公共预算支出经济分类预算表"/>
    </sheetNames>
    <sheetDataSet>
      <sheetData sheetId="0"/>
      <sheetData sheetId="1"/>
      <sheetData sheetId="2"/>
      <sheetData sheetId="3">
        <row r="8">
          <cell r="A8" t="str">
            <v>201</v>
          </cell>
          <cell r="B8" t="str">
            <v>一、一般公共服务</v>
          </cell>
          <cell r="C8">
            <v>23179</v>
          </cell>
          <cell r="D8">
            <v>11</v>
          </cell>
          <cell r="E8">
            <v>349</v>
          </cell>
          <cell r="F8">
            <v>0</v>
          </cell>
          <cell r="G8">
            <v>0</v>
          </cell>
          <cell r="H8">
            <v>0</v>
          </cell>
          <cell r="I8">
            <v>1021</v>
          </cell>
          <cell r="J8">
            <v>7915</v>
          </cell>
          <cell r="K8">
            <v>0</v>
          </cell>
          <cell r="L8">
            <v>0</v>
          </cell>
          <cell r="M8">
            <v>0</v>
          </cell>
          <cell r="N8">
            <v>-2252</v>
          </cell>
          <cell r="O8">
            <v>-7115</v>
          </cell>
          <cell r="P8">
            <v>93</v>
          </cell>
          <cell r="Q8">
            <v>23190</v>
          </cell>
          <cell r="R8">
            <v>22455</v>
          </cell>
          <cell r="S8">
            <v>735</v>
          </cell>
        </row>
        <row r="9">
          <cell r="A9" t="str">
            <v>20101</v>
          </cell>
          <cell r="B9" t="str">
            <v>    人大事务</v>
          </cell>
          <cell r="C9">
            <v>891</v>
          </cell>
          <cell r="D9">
            <v>-201</v>
          </cell>
        </row>
        <row r="9">
          <cell r="I9">
            <v>32</v>
          </cell>
          <cell r="J9">
            <v>-158</v>
          </cell>
        </row>
        <row r="9">
          <cell r="O9">
            <v>-6</v>
          </cell>
          <cell r="P9">
            <v>-69</v>
          </cell>
          <cell r="Q9">
            <v>690</v>
          </cell>
          <cell r="R9">
            <v>670</v>
          </cell>
          <cell r="S9">
            <v>20</v>
          </cell>
        </row>
        <row r="10">
          <cell r="A10" t="str">
            <v>20102</v>
          </cell>
          <cell r="B10" t="str">
            <v>    政协事务</v>
          </cell>
          <cell r="C10">
            <v>303</v>
          </cell>
          <cell r="D10">
            <v>27</v>
          </cell>
        </row>
        <row r="10">
          <cell r="I10">
            <v>44</v>
          </cell>
          <cell r="J10">
            <v>-5</v>
          </cell>
        </row>
        <row r="10">
          <cell r="P10">
            <v>-12</v>
          </cell>
          <cell r="Q10">
            <v>330</v>
          </cell>
          <cell r="R10">
            <v>330</v>
          </cell>
          <cell r="S10">
            <v>0</v>
          </cell>
        </row>
        <row r="11">
          <cell r="A11" t="str">
            <v>20103</v>
          </cell>
          <cell r="B11" t="str">
            <v>    政府办公厅(室)及相关机构事务</v>
          </cell>
          <cell r="C11">
            <v>10041</v>
          </cell>
          <cell r="D11">
            <v>462</v>
          </cell>
        </row>
        <row r="11">
          <cell r="I11">
            <v>298</v>
          </cell>
          <cell r="J11">
            <v>3354</v>
          </cell>
        </row>
        <row r="11">
          <cell r="O11">
            <v>-3200</v>
          </cell>
          <cell r="P11">
            <v>10</v>
          </cell>
          <cell r="Q11">
            <v>10503</v>
          </cell>
          <cell r="R11">
            <v>10503</v>
          </cell>
          <cell r="S11">
            <v>0</v>
          </cell>
        </row>
        <row r="12">
          <cell r="A12" t="str">
            <v>20104</v>
          </cell>
          <cell r="B12" t="str">
            <v>    发展与改革事务</v>
          </cell>
          <cell r="C12">
            <v>400</v>
          </cell>
          <cell r="D12">
            <v>349</v>
          </cell>
          <cell r="E12">
            <v>316</v>
          </cell>
        </row>
        <row r="12">
          <cell r="I12">
            <v>16</v>
          </cell>
          <cell r="J12">
            <v>17</v>
          </cell>
        </row>
        <row r="12">
          <cell r="P12">
            <v>0</v>
          </cell>
          <cell r="Q12">
            <v>749</v>
          </cell>
          <cell r="R12">
            <v>697</v>
          </cell>
          <cell r="S12">
            <v>52</v>
          </cell>
        </row>
        <row r="13">
          <cell r="A13" t="str">
            <v>20105</v>
          </cell>
          <cell r="B13" t="str">
            <v>    统计信息事务</v>
          </cell>
          <cell r="C13">
            <v>344</v>
          </cell>
          <cell r="D13">
            <v>94</v>
          </cell>
        </row>
        <row r="13">
          <cell r="I13">
            <v>32</v>
          </cell>
          <cell r="J13">
            <v>62</v>
          </cell>
        </row>
        <row r="13">
          <cell r="P13">
            <v>0</v>
          </cell>
          <cell r="Q13">
            <v>438</v>
          </cell>
          <cell r="R13">
            <v>409</v>
          </cell>
          <cell r="S13">
            <v>29</v>
          </cell>
        </row>
        <row r="14">
          <cell r="A14" t="str">
            <v>20106</v>
          </cell>
          <cell r="B14" t="str">
            <v>    财政事务</v>
          </cell>
          <cell r="C14">
            <v>858</v>
          </cell>
          <cell r="D14">
            <v>-134</v>
          </cell>
        </row>
        <row r="14">
          <cell r="I14">
            <v>43</v>
          </cell>
          <cell r="J14">
            <v>-154</v>
          </cell>
        </row>
        <row r="14">
          <cell r="P14">
            <v>-23</v>
          </cell>
          <cell r="Q14">
            <v>724</v>
          </cell>
          <cell r="R14">
            <v>724</v>
          </cell>
          <cell r="S14">
            <v>0</v>
          </cell>
        </row>
        <row r="15">
          <cell r="A15" t="str">
            <v>20107</v>
          </cell>
          <cell r="B15" t="str">
            <v>    税收事务</v>
          </cell>
          <cell r="C15">
            <v>417</v>
          </cell>
          <cell r="D15">
            <v>-46</v>
          </cell>
        </row>
        <row r="15">
          <cell r="I15">
            <v>104</v>
          </cell>
          <cell r="J15">
            <v>-150</v>
          </cell>
        </row>
        <row r="15">
          <cell r="P15">
            <v>0</v>
          </cell>
          <cell r="Q15">
            <v>371</v>
          </cell>
          <cell r="R15">
            <v>371</v>
          </cell>
          <cell r="S15">
            <v>0</v>
          </cell>
        </row>
        <row r="16">
          <cell r="A16" t="str">
            <v>20108</v>
          </cell>
          <cell r="B16" t="str">
            <v>    审计事务</v>
          </cell>
          <cell r="C16">
            <v>215</v>
          </cell>
          <cell r="D16">
            <v>10</v>
          </cell>
        </row>
        <row r="16">
          <cell r="I16">
            <v>21</v>
          </cell>
          <cell r="J16">
            <v>-9</v>
          </cell>
        </row>
        <row r="16">
          <cell r="O16">
            <v>-2</v>
          </cell>
          <cell r="P16">
            <v>0</v>
          </cell>
          <cell r="Q16">
            <v>225</v>
          </cell>
          <cell r="R16">
            <v>225</v>
          </cell>
          <cell r="S16">
            <v>0</v>
          </cell>
        </row>
        <row r="17">
          <cell r="A17" t="str">
            <v>20109</v>
          </cell>
          <cell r="B17" t="str">
            <v>    海关事务</v>
          </cell>
          <cell r="C17">
            <v>0</v>
          </cell>
          <cell r="D17">
            <v>0</v>
          </cell>
        </row>
        <row r="17">
          <cell r="F17">
            <v>0</v>
          </cell>
        </row>
        <row r="17">
          <cell r="P17">
            <v>0</v>
          </cell>
          <cell r="Q17">
            <v>0</v>
          </cell>
        </row>
        <row r="17">
          <cell r="S17">
            <v>0</v>
          </cell>
        </row>
        <row r="18">
          <cell r="A18" t="str">
            <v>20111</v>
          </cell>
          <cell r="B18" t="str">
            <v>    纪检监察事务</v>
          </cell>
          <cell r="C18">
            <v>1505</v>
          </cell>
          <cell r="D18">
            <v>332</v>
          </cell>
        </row>
        <row r="18">
          <cell r="I18">
            <v>148</v>
          </cell>
          <cell r="J18">
            <v>741</v>
          </cell>
        </row>
        <row r="18">
          <cell r="O18">
            <v>-586</v>
          </cell>
          <cell r="P18">
            <v>29</v>
          </cell>
          <cell r="Q18">
            <v>1837</v>
          </cell>
          <cell r="R18">
            <v>1790</v>
          </cell>
          <cell r="S18">
            <v>47</v>
          </cell>
        </row>
        <row r="19">
          <cell r="A19" t="str">
            <v>20113</v>
          </cell>
          <cell r="B19" t="str">
            <v>    商贸事务</v>
          </cell>
          <cell r="C19">
            <v>127</v>
          </cell>
          <cell r="D19">
            <v>12</v>
          </cell>
        </row>
        <row r="19">
          <cell r="I19">
            <v>9</v>
          </cell>
          <cell r="J19">
            <v>3</v>
          </cell>
        </row>
        <row r="19">
          <cell r="P19">
            <v>0</v>
          </cell>
          <cell r="Q19">
            <v>139</v>
          </cell>
          <cell r="R19">
            <v>139</v>
          </cell>
          <cell r="S19">
            <v>0</v>
          </cell>
        </row>
        <row r="20">
          <cell r="A20" t="str">
            <v>20114</v>
          </cell>
          <cell r="B20" t="str">
            <v>    知识产权事务</v>
          </cell>
          <cell r="C20">
            <v>0</v>
          </cell>
          <cell r="D20">
            <v>0</v>
          </cell>
        </row>
        <row r="20">
          <cell r="F20">
            <v>0</v>
          </cell>
        </row>
        <row r="20">
          <cell r="P20">
            <v>0</v>
          </cell>
          <cell r="Q20">
            <v>0</v>
          </cell>
        </row>
        <row r="20">
          <cell r="S20">
            <v>0</v>
          </cell>
        </row>
        <row r="21">
          <cell r="A21" t="str">
            <v>20123</v>
          </cell>
          <cell r="B21" t="str">
            <v>    民族事务</v>
          </cell>
          <cell r="C21">
            <v>101</v>
          </cell>
          <cell r="D21">
            <v>94</v>
          </cell>
        </row>
        <row r="21">
          <cell r="J21">
            <v>-100</v>
          </cell>
        </row>
        <row r="21">
          <cell r="P21">
            <v>194</v>
          </cell>
          <cell r="Q21">
            <v>195</v>
          </cell>
          <cell r="R21">
            <v>165</v>
          </cell>
          <cell r="S21">
            <v>30</v>
          </cell>
        </row>
        <row r="22">
          <cell r="A22" t="str">
            <v>20125</v>
          </cell>
          <cell r="B22" t="str">
            <v>    港澳台事务</v>
          </cell>
          <cell r="C22">
            <v>0</v>
          </cell>
          <cell r="D22">
            <v>0</v>
          </cell>
        </row>
        <row r="22">
          <cell r="F22">
            <v>0</v>
          </cell>
        </row>
        <row r="22">
          <cell r="P22">
            <v>0</v>
          </cell>
          <cell r="Q22">
            <v>0</v>
          </cell>
        </row>
        <row r="22">
          <cell r="S22">
            <v>0</v>
          </cell>
        </row>
        <row r="23">
          <cell r="A23" t="str">
            <v>20126</v>
          </cell>
          <cell r="B23" t="str">
            <v>    档案事务</v>
          </cell>
          <cell r="C23">
            <v>93</v>
          </cell>
          <cell r="D23">
            <v>12</v>
          </cell>
        </row>
        <row r="23">
          <cell r="I23">
            <v>5</v>
          </cell>
          <cell r="J23">
            <v>7</v>
          </cell>
        </row>
        <row r="23">
          <cell r="P23">
            <v>0</v>
          </cell>
          <cell r="Q23">
            <v>105</v>
          </cell>
          <cell r="R23">
            <v>105</v>
          </cell>
          <cell r="S23">
            <v>0</v>
          </cell>
        </row>
        <row r="24">
          <cell r="A24" t="str">
            <v>20128</v>
          </cell>
          <cell r="B24" t="str">
            <v>    民主党派及工商联事务</v>
          </cell>
          <cell r="C24">
            <v>42</v>
          </cell>
          <cell r="D24">
            <v>2</v>
          </cell>
        </row>
        <row r="24">
          <cell r="F24">
            <v>0</v>
          </cell>
        </row>
        <row r="24">
          <cell r="I24">
            <v>2</v>
          </cell>
        </row>
        <row r="24">
          <cell r="P24">
            <v>0</v>
          </cell>
          <cell r="Q24">
            <v>44</v>
          </cell>
          <cell r="R24">
            <v>44</v>
          </cell>
          <cell r="S24">
            <v>0</v>
          </cell>
        </row>
        <row r="25">
          <cell r="A25" t="str">
            <v>20129</v>
          </cell>
          <cell r="B25" t="str">
            <v>    群众团体事务</v>
          </cell>
          <cell r="C25">
            <v>653</v>
          </cell>
          <cell r="D25">
            <v>-45</v>
          </cell>
          <cell r="E25">
            <v>27</v>
          </cell>
        </row>
        <row r="25">
          <cell r="I25">
            <v>8</v>
          </cell>
          <cell r="J25">
            <v>90</v>
          </cell>
        </row>
        <row r="25">
          <cell r="O25">
            <v>-170</v>
          </cell>
          <cell r="P25">
            <v>0</v>
          </cell>
          <cell r="Q25">
            <v>608</v>
          </cell>
          <cell r="R25">
            <v>600</v>
          </cell>
          <cell r="S25">
            <v>8</v>
          </cell>
        </row>
        <row r="26">
          <cell r="A26" t="str">
            <v>20131</v>
          </cell>
          <cell r="B26" t="str">
            <v>    党委办公厅（室）及相关机构事务</v>
          </cell>
          <cell r="C26">
            <v>419</v>
          </cell>
          <cell r="D26">
            <v>216</v>
          </cell>
        </row>
        <row r="26">
          <cell r="I26">
            <v>56</v>
          </cell>
          <cell r="J26">
            <v>217</v>
          </cell>
        </row>
        <row r="26">
          <cell r="P26">
            <v>-57</v>
          </cell>
          <cell r="Q26">
            <v>635</v>
          </cell>
          <cell r="R26">
            <v>635</v>
          </cell>
          <cell r="S26">
            <v>0</v>
          </cell>
        </row>
        <row r="27">
          <cell r="A27" t="str">
            <v>20132</v>
          </cell>
          <cell r="B27" t="str">
            <v>    组织事务</v>
          </cell>
          <cell r="C27">
            <v>1955</v>
          </cell>
          <cell r="D27">
            <v>-406</v>
          </cell>
        </row>
        <row r="27">
          <cell r="I27">
            <v>40</v>
          </cell>
          <cell r="J27">
            <v>-36</v>
          </cell>
        </row>
        <row r="27">
          <cell r="O27">
            <v>-419</v>
          </cell>
          <cell r="P27">
            <v>9</v>
          </cell>
          <cell r="Q27">
            <v>1549</v>
          </cell>
          <cell r="R27">
            <v>1043</v>
          </cell>
          <cell r="S27">
            <v>506</v>
          </cell>
        </row>
        <row r="28">
          <cell r="A28" t="str">
            <v>20133</v>
          </cell>
          <cell r="B28" t="str">
            <v>    宣传事务</v>
          </cell>
          <cell r="C28">
            <v>156</v>
          </cell>
          <cell r="D28">
            <v>108</v>
          </cell>
        </row>
        <row r="28">
          <cell r="I28">
            <v>14</v>
          </cell>
          <cell r="J28">
            <v>94</v>
          </cell>
        </row>
        <row r="28">
          <cell r="P28">
            <v>0</v>
          </cell>
          <cell r="Q28">
            <v>264</v>
          </cell>
          <cell r="R28">
            <v>264</v>
          </cell>
          <cell r="S28">
            <v>0</v>
          </cell>
        </row>
        <row r="29">
          <cell r="A29" t="str">
            <v>20134</v>
          </cell>
          <cell r="B29" t="str">
            <v>    统战事务</v>
          </cell>
          <cell r="C29">
            <v>251</v>
          </cell>
          <cell r="D29">
            <v>12</v>
          </cell>
        </row>
        <row r="29">
          <cell r="I29">
            <v>16</v>
          </cell>
          <cell r="J29">
            <v>-3</v>
          </cell>
        </row>
        <row r="29">
          <cell r="P29">
            <v>-1</v>
          </cell>
          <cell r="Q29">
            <v>263</v>
          </cell>
          <cell r="R29">
            <v>263</v>
          </cell>
          <cell r="S29">
            <v>0</v>
          </cell>
        </row>
        <row r="30">
          <cell r="A30" t="str">
            <v>20135</v>
          </cell>
          <cell r="B30" t="str">
            <v>    对外联络事务</v>
          </cell>
          <cell r="C30">
            <v>0</v>
          </cell>
          <cell r="D30">
            <v>0</v>
          </cell>
        </row>
        <row r="30">
          <cell r="P30">
            <v>0</v>
          </cell>
          <cell r="Q30">
            <v>0</v>
          </cell>
        </row>
        <row r="30">
          <cell r="S30">
            <v>0</v>
          </cell>
        </row>
        <row r="31">
          <cell r="A31" t="str">
            <v>20136</v>
          </cell>
          <cell r="B31" t="str">
            <v>    其他共产党事务支出</v>
          </cell>
          <cell r="C31">
            <v>447</v>
          </cell>
          <cell r="D31">
            <v>35</v>
          </cell>
        </row>
        <row r="31">
          <cell r="I31">
            <v>30</v>
          </cell>
          <cell r="J31">
            <v>5</v>
          </cell>
        </row>
        <row r="31">
          <cell r="P31">
            <v>0</v>
          </cell>
          <cell r="Q31">
            <v>482</v>
          </cell>
          <cell r="R31">
            <v>482</v>
          </cell>
          <cell r="S31">
            <v>0</v>
          </cell>
        </row>
        <row r="32">
          <cell r="A32" t="str">
            <v>20137</v>
          </cell>
          <cell r="B32" t="str">
            <v>    网信事务</v>
          </cell>
          <cell r="C32">
            <v>0</v>
          </cell>
          <cell r="D32">
            <v>0</v>
          </cell>
        </row>
        <row r="32">
          <cell r="P32">
            <v>0</v>
          </cell>
          <cell r="Q32">
            <v>0</v>
          </cell>
        </row>
        <row r="32">
          <cell r="S32">
            <v>0</v>
          </cell>
        </row>
        <row r="33">
          <cell r="A33" t="str">
            <v>20138</v>
          </cell>
          <cell r="B33" t="str">
            <v>    市场监督管理事务</v>
          </cell>
          <cell r="C33">
            <v>1414</v>
          </cell>
          <cell r="D33">
            <v>278</v>
          </cell>
          <cell r="E33">
            <v>5</v>
          </cell>
        </row>
        <row r="33">
          <cell r="I33">
            <v>91</v>
          </cell>
          <cell r="J33">
            <v>187</v>
          </cell>
        </row>
        <row r="33">
          <cell r="O33">
            <v>-18</v>
          </cell>
          <cell r="P33">
            <v>13</v>
          </cell>
          <cell r="Q33">
            <v>1692</v>
          </cell>
          <cell r="R33">
            <v>1654</v>
          </cell>
          <cell r="S33">
            <v>38</v>
          </cell>
        </row>
        <row r="34">
          <cell r="A34" t="str">
            <v>20139</v>
          </cell>
          <cell r="B34" t="str">
            <v>    社会工作事务</v>
          </cell>
          <cell r="C34">
            <v>132</v>
          </cell>
          <cell r="D34">
            <v>24</v>
          </cell>
          <cell r="E34">
            <v>1</v>
          </cell>
        </row>
        <row r="34">
          <cell r="I34">
            <v>5</v>
          </cell>
          <cell r="J34">
            <v>23</v>
          </cell>
        </row>
        <row r="34">
          <cell r="O34">
            <v>-5</v>
          </cell>
          <cell r="P34">
            <v>0</v>
          </cell>
          <cell r="Q34">
            <v>156</v>
          </cell>
          <cell r="R34">
            <v>151</v>
          </cell>
          <cell r="S34">
            <v>5</v>
          </cell>
        </row>
        <row r="35">
          <cell r="A35" t="str">
            <v>20140</v>
          </cell>
          <cell r="B35" t="str">
            <v>    信访事务</v>
          </cell>
          <cell r="C35">
            <v>163</v>
          </cell>
          <cell r="D35">
            <v>14</v>
          </cell>
        </row>
        <row r="35">
          <cell r="I35">
            <v>7</v>
          </cell>
          <cell r="J35">
            <v>7</v>
          </cell>
        </row>
        <row r="35">
          <cell r="P35">
            <v>0</v>
          </cell>
          <cell r="Q35">
            <v>177</v>
          </cell>
          <cell r="R35">
            <v>177</v>
          </cell>
          <cell r="S35">
            <v>0</v>
          </cell>
        </row>
        <row r="36">
          <cell r="A36" t="str">
            <v>20141</v>
          </cell>
          <cell r="B36" t="str">
            <v>    数据事务</v>
          </cell>
          <cell r="C36">
            <v>0</v>
          </cell>
          <cell r="D36">
            <v>0</v>
          </cell>
        </row>
        <row r="36">
          <cell r="P36">
            <v>0</v>
          </cell>
          <cell r="Q36">
            <v>0</v>
          </cell>
        </row>
        <row r="36">
          <cell r="S36">
            <v>0</v>
          </cell>
        </row>
        <row r="37">
          <cell r="A37" t="str">
            <v>20199</v>
          </cell>
          <cell r="B37" t="str">
            <v>    其他一般公共服务支出</v>
          </cell>
          <cell r="C37">
            <v>2252</v>
          </cell>
          <cell r="D37">
            <v>-1238</v>
          </cell>
        </row>
        <row r="37">
          <cell r="J37">
            <v>3723</v>
          </cell>
        </row>
        <row r="37">
          <cell r="N37">
            <v>-2252</v>
          </cell>
          <cell r="O37">
            <v>-2709</v>
          </cell>
          <cell r="P37">
            <v>0</v>
          </cell>
          <cell r="Q37">
            <v>1014</v>
          </cell>
          <cell r="R37">
            <v>1014</v>
          </cell>
          <cell r="S37">
            <v>0</v>
          </cell>
        </row>
        <row r="38">
          <cell r="A38" t="str">
            <v>202</v>
          </cell>
          <cell r="B38" t="str">
            <v>二、外交支出</v>
          </cell>
          <cell r="C38">
            <v>0</v>
          </cell>
          <cell r="D38">
            <v>0</v>
          </cell>
          <cell r="E38">
            <v>0</v>
          </cell>
        </row>
        <row r="38">
          <cell r="G38">
            <v>0</v>
          </cell>
          <cell r="H38">
            <v>0</v>
          </cell>
          <cell r="I38">
            <v>0</v>
          </cell>
        </row>
        <row r="38">
          <cell r="K38">
            <v>0</v>
          </cell>
          <cell r="L38">
            <v>0</v>
          </cell>
          <cell r="M38">
            <v>0</v>
          </cell>
          <cell r="N38">
            <v>0</v>
          </cell>
          <cell r="O38">
            <v>0</v>
          </cell>
          <cell r="P38">
            <v>0</v>
          </cell>
          <cell r="Q38">
            <v>0</v>
          </cell>
          <cell r="R38">
            <v>0</v>
          </cell>
          <cell r="S38">
            <v>0</v>
          </cell>
        </row>
        <row r="39">
          <cell r="A39" t="str">
            <v>20201</v>
          </cell>
          <cell r="B39" t="str">
            <v>    外交管理事务</v>
          </cell>
          <cell r="C39">
            <v>0</v>
          </cell>
          <cell r="D39">
            <v>0</v>
          </cell>
          <cell r="E39">
            <v>0</v>
          </cell>
          <cell r="F39">
            <v>0</v>
          </cell>
          <cell r="G39">
            <v>0</v>
          </cell>
          <cell r="H39">
            <v>0</v>
          </cell>
          <cell r="I39">
            <v>0</v>
          </cell>
        </row>
        <row r="39">
          <cell r="K39">
            <v>0</v>
          </cell>
          <cell r="L39">
            <v>0</v>
          </cell>
        </row>
        <row r="39">
          <cell r="N39">
            <v>0</v>
          </cell>
          <cell r="O39">
            <v>0</v>
          </cell>
          <cell r="P39">
            <v>0</v>
          </cell>
          <cell r="Q39">
            <v>0</v>
          </cell>
          <cell r="R39">
            <v>0</v>
          </cell>
          <cell r="S39">
            <v>0</v>
          </cell>
        </row>
        <row r="40">
          <cell r="A40" t="str">
            <v>20202</v>
          </cell>
          <cell r="B40" t="str">
            <v>    驻外机构</v>
          </cell>
        </row>
        <row r="40">
          <cell r="D40">
            <v>0</v>
          </cell>
        </row>
        <row r="40">
          <cell r="Q40">
            <v>0</v>
          </cell>
        </row>
        <row r="40">
          <cell r="S40">
            <v>0</v>
          </cell>
        </row>
        <row r="41">
          <cell r="A41" t="str">
            <v>20203</v>
          </cell>
          <cell r="B41" t="str">
            <v>    对外援助</v>
          </cell>
        </row>
        <row r="41">
          <cell r="D41">
            <v>0</v>
          </cell>
        </row>
        <row r="41">
          <cell r="Q41">
            <v>0</v>
          </cell>
        </row>
        <row r="41">
          <cell r="S41">
            <v>0</v>
          </cell>
        </row>
        <row r="42">
          <cell r="A42" t="str">
            <v>20204</v>
          </cell>
          <cell r="B42" t="str">
            <v>    国际组织</v>
          </cell>
        </row>
        <row r="42">
          <cell r="D42">
            <v>0</v>
          </cell>
        </row>
        <row r="42">
          <cell r="Q42">
            <v>0</v>
          </cell>
        </row>
        <row r="42">
          <cell r="S42">
            <v>0</v>
          </cell>
        </row>
        <row r="43">
          <cell r="A43" t="str">
            <v>20205</v>
          </cell>
          <cell r="B43" t="str">
            <v>    对外合作与交流</v>
          </cell>
        </row>
        <row r="43">
          <cell r="D43">
            <v>0</v>
          </cell>
        </row>
        <row r="43">
          <cell r="Q43">
            <v>0</v>
          </cell>
        </row>
        <row r="43">
          <cell r="S43">
            <v>0</v>
          </cell>
        </row>
        <row r="44">
          <cell r="A44" t="str">
            <v>20206</v>
          </cell>
          <cell r="B44" t="str">
            <v>    对外宣传</v>
          </cell>
        </row>
        <row r="44">
          <cell r="D44">
            <v>0</v>
          </cell>
        </row>
        <row r="44">
          <cell r="Q44">
            <v>0</v>
          </cell>
        </row>
        <row r="44">
          <cell r="S44">
            <v>0</v>
          </cell>
        </row>
        <row r="45">
          <cell r="A45" t="str">
            <v>20207</v>
          </cell>
          <cell r="B45" t="str">
            <v>    边界勘界联检</v>
          </cell>
        </row>
        <row r="45">
          <cell r="D45">
            <v>0</v>
          </cell>
        </row>
        <row r="45">
          <cell r="Q45">
            <v>0</v>
          </cell>
        </row>
        <row r="45">
          <cell r="S45">
            <v>0</v>
          </cell>
        </row>
        <row r="46">
          <cell r="A46" t="str">
            <v>20208</v>
          </cell>
          <cell r="B46" t="str">
            <v>    国际发展合作</v>
          </cell>
        </row>
        <row r="46">
          <cell r="D46">
            <v>0</v>
          </cell>
        </row>
        <row r="46">
          <cell r="Q46">
            <v>0</v>
          </cell>
        </row>
        <row r="46">
          <cell r="S46">
            <v>0</v>
          </cell>
        </row>
        <row r="47">
          <cell r="A47" t="str">
            <v>20299</v>
          </cell>
          <cell r="B47" t="str">
            <v>    其他外交支出</v>
          </cell>
          <cell r="C47">
            <v>0</v>
          </cell>
          <cell r="D47">
            <v>0</v>
          </cell>
          <cell r="E47">
            <v>0</v>
          </cell>
          <cell r="F47">
            <v>0</v>
          </cell>
          <cell r="G47">
            <v>0</v>
          </cell>
          <cell r="H47">
            <v>0</v>
          </cell>
          <cell r="I47">
            <v>0</v>
          </cell>
        </row>
        <row r="47">
          <cell r="K47">
            <v>0</v>
          </cell>
          <cell r="L47">
            <v>0</v>
          </cell>
        </row>
        <row r="47">
          <cell r="N47">
            <v>0</v>
          </cell>
          <cell r="O47">
            <v>0</v>
          </cell>
          <cell r="P47">
            <v>0</v>
          </cell>
          <cell r="Q47">
            <v>0</v>
          </cell>
          <cell r="R47">
            <v>0</v>
          </cell>
          <cell r="S47">
            <v>0</v>
          </cell>
        </row>
        <row r="48">
          <cell r="A48" t="str">
            <v>203</v>
          </cell>
          <cell r="B48" t="str">
            <v>三、国防支出</v>
          </cell>
          <cell r="C48">
            <v>20</v>
          </cell>
          <cell r="D48">
            <v>166</v>
          </cell>
          <cell r="E48">
            <v>0</v>
          </cell>
          <cell r="F48">
            <v>1</v>
          </cell>
          <cell r="G48">
            <v>0</v>
          </cell>
          <cell r="H48">
            <v>0</v>
          </cell>
          <cell r="I48">
            <v>51</v>
          </cell>
          <cell r="J48">
            <v>103</v>
          </cell>
          <cell r="K48">
            <v>0</v>
          </cell>
          <cell r="L48">
            <v>0</v>
          </cell>
          <cell r="M48">
            <v>0</v>
          </cell>
          <cell r="N48">
            <v>0</v>
          </cell>
          <cell r="O48">
            <v>0</v>
          </cell>
          <cell r="P48">
            <v>11</v>
          </cell>
          <cell r="Q48">
            <v>186</v>
          </cell>
          <cell r="R48">
            <v>163</v>
          </cell>
          <cell r="S48">
            <v>23</v>
          </cell>
        </row>
        <row r="49">
          <cell r="A49" t="str">
            <v>20301</v>
          </cell>
          <cell r="B49" t="str">
            <v>    军费</v>
          </cell>
        </row>
        <row r="49">
          <cell r="D49">
            <v>0</v>
          </cell>
          <cell r="E49">
            <v>0</v>
          </cell>
        </row>
        <row r="49">
          <cell r="G49">
            <v>0</v>
          </cell>
          <cell r="H49">
            <v>0</v>
          </cell>
        </row>
        <row r="49">
          <cell r="P49">
            <v>0</v>
          </cell>
          <cell r="Q49">
            <v>0</v>
          </cell>
        </row>
        <row r="49">
          <cell r="S49">
            <v>0</v>
          </cell>
        </row>
        <row r="50">
          <cell r="A50" t="str">
            <v>20304</v>
          </cell>
          <cell r="B50" t="str">
            <v>    国防科研事业</v>
          </cell>
        </row>
        <row r="50">
          <cell r="D50">
            <v>0</v>
          </cell>
        </row>
        <row r="50">
          <cell r="Q50">
            <v>0</v>
          </cell>
        </row>
        <row r="50">
          <cell r="S50">
            <v>0</v>
          </cell>
        </row>
        <row r="51">
          <cell r="A51" t="str">
            <v>20305</v>
          </cell>
          <cell r="B51" t="str">
            <v>    专项工程</v>
          </cell>
        </row>
        <row r="51">
          <cell r="D51">
            <v>0</v>
          </cell>
        </row>
        <row r="51">
          <cell r="Q51">
            <v>0</v>
          </cell>
        </row>
        <row r="51">
          <cell r="S51">
            <v>0</v>
          </cell>
        </row>
        <row r="52">
          <cell r="A52" t="str">
            <v>20306</v>
          </cell>
          <cell r="B52" t="str">
            <v>    国防动员</v>
          </cell>
          <cell r="C52">
            <v>20</v>
          </cell>
          <cell r="D52">
            <v>156</v>
          </cell>
        </row>
        <row r="52">
          <cell r="F52">
            <v>1</v>
          </cell>
        </row>
        <row r="52">
          <cell r="I52">
            <v>51</v>
          </cell>
          <cell r="J52">
            <v>104</v>
          </cell>
        </row>
        <row r="52">
          <cell r="Q52">
            <v>176</v>
          </cell>
          <cell r="R52">
            <v>153</v>
          </cell>
          <cell r="S52">
            <v>23</v>
          </cell>
        </row>
        <row r="53">
          <cell r="A53" t="str">
            <v>20399</v>
          </cell>
          <cell r="B53" t="str">
            <v>    其他国防支出</v>
          </cell>
          <cell r="C53">
            <v>0</v>
          </cell>
          <cell r="D53">
            <v>10</v>
          </cell>
          <cell r="E53">
            <v>0</v>
          </cell>
        </row>
        <row r="53">
          <cell r="G53">
            <v>0</v>
          </cell>
          <cell r="H53">
            <v>0</v>
          </cell>
        </row>
        <row r="53">
          <cell r="J53">
            <v>-1</v>
          </cell>
        </row>
        <row r="53">
          <cell r="P53">
            <v>11</v>
          </cell>
          <cell r="Q53">
            <v>10</v>
          </cell>
          <cell r="R53">
            <v>10</v>
          </cell>
          <cell r="S53">
            <v>0</v>
          </cell>
        </row>
        <row r="54">
          <cell r="A54" t="str">
            <v>204</v>
          </cell>
          <cell r="B54" t="str">
            <v>四、公共安全支出</v>
          </cell>
          <cell r="C54">
            <v>10731</v>
          </cell>
          <cell r="D54">
            <v>-1258</v>
          </cell>
          <cell r="E54">
            <v>0</v>
          </cell>
          <cell r="F54">
            <v>0</v>
          </cell>
          <cell r="G54">
            <v>0</v>
          </cell>
          <cell r="H54">
            <v>0</v>
          </cell>
          <cell r="I54">
            <v>396</v>
          </cell>
          <cell r="J54">
            <v>-618</v>
          </cell>
          <cell r="K54">
            <v>0</v>
          </cell>
          <cell r="L54">
            <v>0</v>
          </cell>
          <cell r="M54">
            <v>2884</v>
          </cell>
          <cell r="N54">
            <v>0</v>
          </cell>
          <cell r="O54">
            <v>-932</v>
          </cell>
          <cell r="P54">
            <v>-2988</v>
          </cell>
          <cell r="Q54">
            <v>9473</v>
          </cell>
          <cell r="R54">
            <v>9349</v>
          </cell>
          <cell r="S54">
            <v>124</v>
          </cell>
        </row>
        <row r="55">
          <cell r="A55" t="str">
            <v>20401</v>
          </cell>
          <cell r="B55" t="str">
            <v>    武装警察部队</v>
          </cell>
          <cell r="C55">
            <v>12</v>
          </cell>
          <cell r="D55">
            <v>16</v>
          </cell>
          <cell r="E55">
            <v>0</v>
          </cell>
        </row>
        <row r="55">
          <cell r="J55">
            <v>3</v>
          </cell>
        </row>
        <row r="55">
          <cell r="P55">
            <v>13</v>
          </cell>
          <cell r="Q55">
            <v>28</v>
          </cell>
          <cell r="R55">
            <v>28</v>
          </cell>
          <cell r="S55">
            <v>0</v>
          </cell>
        </row>
        <row r="56">
          <cell r="A56" t="str">
            <v>20402</v>
          </cell>
          <cell r="B56" t="str">
            <v>    公安</v>
          </cell>
          <cell r="C56">
            <v>9851</v>
          </cell>
          <cell r="D56">
            <v>-1420</v>
          </cell>
          <cell r="E56">
            <v>0</v>
          </cell>
        </row>
        <row r="56">
          <cell r="I56">
            <v>357</v>
          </cell>
          <cell r="J56">
            <v>-738</v>
          </cell>
        </row>
        <row r="56">
          <cell r="M56">
            <v>2884</v>
          </cell>
        </row>
        <row r="56">
          <cell r="O56">
            <v>-923</v>
          </cell>
          <cell r="P56">
            <v>-3000</v>
          </cell>
          <cell r="Q56">
            <v>8431</v>
          </cell>
          <cell r="R56">
            <v>8323</v>
          </cell>
          <cell r="S56">
            <v>108</v>
          </cell>
        </row>
        <row r="57">
          <cell r="A57" t="str">
            <v>20403</v>
          </cell>
          <cell r="B57" t="str">
            <v>    国家安全</v>
          </cell>
          <cell r="C57">
            <v>65</v>
          </cell>
          <cell r="D57">
            <v>-65</v>
          </cell>
          <cell r="E57">
            <v>0</v>
          </cell>
        </row>
        <row r="57">
          <cell r="J57">
            <v>-65</v>
          </cell>
        </row>
        <row r="57">
          <cell r="P57">
            <v>0</v>
          </cell>
          <cell r="Q57">
            <v>0</v>
          </cell>
        </row>
        <row r="57">
          <cell r="S57">
            <v>0</v>
          </cell>
        </row>
        <row r="58">
          <cell r="A58" t="str">
            <v>20404</v>
          </cell>
          <cell r="B58" t="str">
            <v>    检察</v>
          </cell>
          <cell r="C58">
            <v>0</v>
          </cell>
          <cell r="D58">
            <v>0</v>
          </cell>
          <cell r="E58">
            <v>0</v>
          </cell>
        </row>
        <row r="58">
          <cell r="P58">
            <v>0</v>
          </cell>
          <cell r="Q58">
            <v>0</v>
          </cell>
        </row>
        <row r="58">
          <cell r="S58">
            <v>0</v>
          </cell>
        </row>
        <row r="59">
          <cell r="A59" t="str">
            <v>20405</v>
          </cell>
          <cell r="B59" t="str">
            <v>    法院</v>
          </cell>
          <cell r="C59">
            <v>0</v>
          </cell>
          <cell r="D59">
            <v>0</v>
          </cell>
          <cell r="E59">
            <v>0</v>
          </cell>
        </row>
        <row r="59">
          <cell r="P59">
            <v>0</v>
          </cell>
          <cell r="Q59">
            <v>0</v>
          </cell>
        </row>
        <row r="59">
          <cell r="S59">
            <v>0</v>
          </cell>
        </row>
        <row r="60">
          <cell r="A60" t="str">
            <v>20406</v>
          </cell>
          <cell r="B60" t="str">
            <v>    司法</v>
          </cell>
          <cell r="C60">
            <v>803</v>
          </cell>
          <cell r="D60">
            <v>178</v>
          </cell>
          <cell r="E60">
            <v>0</v>
          </cell>
        </row>
        <row r="60">
          <cell r="I60">
            <v>39</v>
          </cell>
          <cell r="J60">
            <v>149</v>
          </cell>
        </row>
        <row r="60">
          <cell r="O60">
            <v>-9</v>
          </cell>
          <cell r="P60">
            <v>-1</v>
          </cell>
          <cell r="Q60">
            <v>981</v>
          </cell>
          <cell r="R60">
            <v>966</v>
          </cell>
          <cell r="S60">
            <v>15</v>
          </cell>
        </row>
        <row r="61">
          <cell r="A61" t="str">
            <v>20407</v>
          </cell>
          <cell r="B61" t="str">
            <v>    监狱</v>
          </cell>
          <cell r="C61">
            <v>0</v>
          </cell>
          <cell r="D61">
            <v>0</v>
          </cell>
          <cell r="E61">
            <v>0</v>
          </cell>
        </row>
        <row r="61">
          <cell r="P61">
            <v>0</v>
          </cell>
          <cell r="Q61">
            <v>0</v>
          </cell>
        </row>
        <row r="61">
          <cell r="S61">
            <v>0</v>
          </cell>
        </row>
        <row r="62">
          <cell r="A62" t="str">
            <v>20408</v>
          </cell>
          <cell r="B62" t="str">
            <v>    强制隔离戒毒</v>
          </cell>
          <cell r="C62">
            <v>0</v>
          </cell>
          <cell r="D62">
            <v>0</v>
          </cell>
          <cell r="E62">
            <v>0</v>
          </cell>
        </row>
        <row r="62">
          <cell r="P62">
            <v>0</v>
          </cell>
          <cell r="Q62">
            <v>0</v>
          </cell>
        </row>
        <row r="62">
          <cell r="S62">
            <v>0</v>
          </cell>
        </row>
        <row r="63">
          <cell r="A63" t="str">
            <v>20409</v>
          </cell>
          <cell r="B63" t="str">
            <v>    国家保密</v>
          </cell>
          <cell r="C63">
            <v>0</v>
          </cell>
          <cell r="D63">
            <v>0</v>
          </cell>
          <cell r="E63">
            <v>0</v>
          </cell>
        </row>
        <row r="63">
          <cell r="P63">
            <v>0</v>
          </cell>
          <cell r="Q63">
            <v>0</v>
          </cell>
        </row>
        <row r="63">
          <cell r="S63">
            <v>0</v>
          </cell>
        </row>
        <row r="64">
          <cell r="A64" t="str">
            <v>20410</v>
          </cell>
          <cell r="B64" t="str">
            <v>    缉私警察</v>
          </cell>
          <cell r="C64">
            <v>0</v>
          </cell>
          <cell r="D64">
            <v>0</v>
          </cell>
          <cell r="E64">
            <v>0</v>
          </cell>
        </row>
        <row r="64">
          <cell r="P64">
            <v>0</v>
          </cell>
          <cell r="Q64">
            <v>0</v>
          </cell>
        </row>
        <row r="64">
          <cell r="S64">
            <v>0</v>
          </cell>
        </row>
        <row r="65">
          <cell r="A65" t="str">
            <v>20499</v>
          </cell>
          <cell r="B65" t="str">
            <v>    其他公共安全支出</v>
          </cell>
          <cell r="C65">
            <v>0</v>
          </cell>
          <cell r="D65">
            <v>33</v>
          </cell>
          <cell r="E65">
            <v>0</v>
          </cell>
        </row>
        <row r="65">
          <cell r="J65">
            <v>33</v>
          </cell>
        </row>
        <row r="65">
          <cell r="P65">
            <v>0</v>
          </cell>
          <cell r="Q65">
            <v>33</v>
          </cell>
          <cell r="R65">
            <v>32</v>
          </cell>
          <cell r="S65">
            <v>1</v>
          </cell>
        </row>
        <row r="66">
          <cell r="A66" t="str">
            <v>205</v>
          </cell>
          <cell r="B66" t="str">
            <v>五、教育支出</v>
          </cell>
          <cell r="C66">
            <v>78779</v>
          </cell>
          <cell r="D66">
            <v>-1779</v>
          </cell>
          <cell r="E66">
            <v>30</v>
          </cell>
          <cell r="F66">
            <v>5943</v>
          </cell>
          <cell r="G66">
            <v>0</v>
          </cell>
          <cell r="H66">
            <v>0</v>
          </cell>
          <cell r="I66">
            <v>958</v>
          </cell>
          <cell r="J66">
            <v>9801</v>
          </cell>
          <cell r="K66">
            <v>0</v>
          </cell>
          <cell r="L66">
            <v>0</v>
          </cell>
          <cell r="M66">
            <v>7844</v>
          </cell>
          <cell r="N66">
            <v>-6326</v>
          </cell>
          <cell r="O66">
            <v>-12064</v>
          </cell>
          <cell r="P66">
            <v>-7965</v>
          </cell>
          <cell r="Q66">
            <v>77000</v>
          </cell>
          <cell r="R66">
            <v>72893</v>
          </cell>
          <cell r="S66">
            <v>4107</v>
          </cell>
        </row>
        <row r="67">
          <cell r="A67" t="str">
            <v>20501</v>
          </cell>
          <cell r="B67" t="str">
            <v>    教育管理事务</v>
          </cell>
          <cell r="C67">
            <v>143</v>
          </cell>
          <cell r="D67">
            <v>3101</v>
          </cell>
          <cell r="E67">
            <v>0</v>
          </cell>
          <cell r="F67">
            <v>3090</v>
          </cell>
        </row>
        <row r="67">
          <cell r="I67">
            <v>11</v>
          </cell>
        </row>
        <row r="67">
          <cell r="P67">
            <v>0</v>
          </cell>
          <cell r="Q67">
            <v>3244</v>
          </cell>
          <cell r="R67">
            <v>3244</v>
          </cell>
          <cell r="S67">
            <v>0</v>
          </cell>
        </row>
        <row r="68">
          <cell r="A68" t="str">
            <v>20502</v>
          </cell>
          <cell r="B68" t="str">
            <v>    普通教育</v>
          </cell>
          <cell r="C68">
            <v>73806</v>
          </cell>
          <cell r="D68">
            <v>-961</v>
          </cell>
          <cell r="E68">
            <v>30</v>
          </cell>
          <cell r="F68">
            <v>2568</v>
          </cell>
        </row>
        <row r="68">
          <cell r="I68">
            <v>836</v>
          </cell>
          <cell r="J68">
            <v>12620</v>
          </cell>
        </row>
        <row r="68">
          <cell r="M68">
            <v>4721</v>
          </cell>
          <cell r="N68">
            <v>-5120</v>
          </cell>
          <cell r="O68">
            <v>-11774</v>
          </cell>
          <cell r="P68">
            <v>-4842</v>
          </cell>
          <cell r="Q68">
            <v>72845</v>
          </cell>
          <cell r="R68">
            <v>68826</v>
          </cell>
          <cell r="S68">
            <v>4019</v>
          </cell>
        </row>
        <row r="69">
          <cell r="A69" t="str">
            <v>20503</v>
          </cell>
          <cell r="B69" t="str">
            <v>    职业教育</v>
          </cell>
          <cell r="C69">
            <v>200</v>
          </cell>
          <cell r="D69">
            <v>20</v>
          </cell>
        </row>
        <row r="69">
          <cell r="I69">
            <v>109</v>
          </cell>
          <cell r="J69">
            <v>-89</v>
          </cell>
        </row>
        <row r="69">
          <cell r="P69">
            <v>0</v>
          </cell>
          <cell r="Q69">
            <v>220</v>
          </cell>
          <cell r="R69">
            <v>143</v>
          </cell>
          <cell r="S69">
            <v>77</v>
          </cell>
        </row>
        <row r="70">
          <cell r="A70" t="str">
            <v>20504</v>
          </cell>
          <cell r="B70" t="str">
            <v>    成人教育</v>
          </cell>
          <cell r="C70">
            <v>0</v>
          </cell>
          <cell r="D70">
            <v>0</v>
          </cell>
        </row>
        <row r="70">
          <cell r="F70">
            <v>0</v>
          </cell>
        </row>
        <row r="70">
          <cell r="P70">
            <v>0</v>
          </cell>
          <cell r="Q70">
            <v>0</v>
          </cell>
        </row>
        <row r="70">
          <cell r="S70">
            <v>0</v>
          </cell>
        </row>
        <row r="71">
          <cell r="A71" t="str">
            <v>20505</v>
          </cell>
          <cell r="B71" t="str">
            <v>    广播电视教育</v>
          </cell>
          <cell r="C71">
            <v>0</v>
          </cell>
          <cell r="D71">
            <v>0</v>
          </cell>
        </row>
        <row r="71">
          <cell r="F71">
            <v>0</v>
          </cell>
        </row>
        <row r="71">
          <cell r="P71">
            <v>0</v>
          </cell>
          <cell r="Q71">
            <v>0</v>
          </cell>
        </row>
        <row r="71">
          <cell r="S71">
            <v>0</v>
          </cell>
        </row>
        <row r="72">
          <cell r="A72" t="str">
            <v>20506</v>
          </cell>
          <cell r="B72" t="str">
            <v>    留学教育</v>
          </cell>
          <cell r="C72">
            <v>0</v>
          </cell>
          <cell r="D72">
            <v>0</v>
          </cell>
        </row>
        <row r="72">
          <cell r="F72">
            <v>0</v>
          </cell>
        </row>
        <row r="72">
          <cell r="P72">
            <v>0</v>
          </cell>
          <cell r="Q72">
            <v>0</v>
          </cell>
        </row>
        <row r="72">
          <cell r="S72">
            <v>0</v>
          </cell>
        </row>
        <row r="73">
          <cell r="A73" t="str">
            <v>20507</v>
          </cell>
          <cell r="B73" t="str">
            <v>    特殊教育</v>
          </cell>
          <cell r="C73">
            <v>301</v>
          </cell>
          <cell r="D73">
            <v>97</v>
          </cell>
        </row>
        <row r="73">
          <cell r="F73">
            <v>8</v>
          </cell>
        </row>
        <row r="73">
          <cell r="J73">
            <v>89</v>
          </cell>
        </row>
        <row r="73">
          <cell r="P73">
            <v>0</v>
          </cell>
          <cell r="Q73">
            <v>398</v>
          </cell>
          <cell r="R73">
            <v>387</v>
          </cell>
          <cell r="S73">
            <v>11</v>
          </cell>
        </row>
        <row r="74">
          <cell r="A74" t="str">
            <v>20508</v>
          </cell>
          <cell r="B74" t="str">
            <v>    进修及培训</v>
          </cell>
          <cell r="C74">
            <v>266</v>
          </cell>
          <cell r="D74">
            <v>13</v>
          </cell>
        </row>
        <row r="74">
          <cell r="F74">
            <v>277</v>
          </cell>
        </row>
        <row r="74">
          <cell r="I74">
            <v>2</v>
          </cell>
          <cell r="J74">
            <v>290</v>
          </cell>
        </row>
        <row r="74">
          <cell r="N74">
            <v>-266</v>
          </cell>
          <cell r="O74">
            <v>-290</v>
          </cell>
          <cell r="P74">
            <v>0</v>
          </cell>
          <cell r="Q74">
            <v>279</v>
          </cell>
          <cell r="R74">
            <v>279</v>
          </cell>
          <cell r="S74">
            <v>0</v>
          </cell>
        </row>
        <row r="75">
          <cell r="A75" t="str">
            <v>20509</v>
          </cell>
          <cell r="B75" t="str">
            <v>    教育费附加安排的支出</v>
          </cell>
          <cell r="C75">
            <v>4063</v>
          </cell>
          <cell r="D75">
            <v>-4049</v>
          </cell>
        </row>
        <row r="75">
          <cell r="J75">
            <v>-3109</v>
          </cell>
        </row>
        <row r="75">
          <cell r="M75">
            <v>3123</v>
          </cell>
          <cell r="N75">
            <v>-940</v>
          </cell>
        </row>
        <row r="75">
          <cell r="P75">
            <v>-3123</v>
          </cell>
          <cell r="Q75">
            <v>14</v>
          </cell>
          <cell r="R75">
            <v>14</v>
          </cell>
          <cell r="S75">
            <v>0</v>
          </cell>
        </row>
        <row r="76">
          <cell r="A76" t="str">
            <v>20599</v>
          </cell>
          <cell r="B76" t="str">
            <v>    其他教育支出</v>
          </cell>
          <cell r="C76">
            <v>0</v>
          </cell>
          <cell r="D76">
            <v>0</v>
          </cell>
        </row>
        <row r="76">
          <cell r="F76">
            <v>0</v>
          </cell>
        </row>
        <row r="76">
          <cell r="P76">
            <v>0</v>
          </cell>
          <cell r="Q76">
            <v>0</v>
          </cell>
        </row>
        <row r="76">
          <cell r="S76">
            <v>0</v>
          </cell>
        </row>
        <row r="77">
          <cell r="A77" t="str">
            <v>206</v>
          </cell>
          <cell r="B77" t="str">
            <v>六、科学技术支出</v>
          </cell>
          <cell r="C77">
            <v>2227</v>
          </cell>
          <cell r="D77">
            <v>1197</v>
          </cell>
          <cell r="E77">
            <v>0</v>
          </cell>
          <cell r="F77">
            <v>0</v>
          </cell>
          <cell r="G77">
            <v>0</v>
          </cell>
          <cell r="H77">
            <v>0</v>
          </cell>
          <cell r="I77">
            <v>58</v>
          </cell>
          <cell r="J77">
            <v>2861</v>
          </cell>
          <cell r="K77">
            <v>0</v>
          </cell>
          <cell r="L77">
            <v>0</v>
          </cell>
          <cell r="M77">
            <v>0</v>
          </cell>
          <cell r="N77">
            <v>-1677</v>
          </cell>
          <cell r="O77">
            <v>-55</v>
          </cell>
          <cell r="P77">
            <v>10</v>
          </cell>
          <cell r="Q77">
            <v>3424</v>
          </cell>
          <cell r="R77">
            <v>3399</v>
          </cell>
          <cell r="S77">
            <v>25</v>
          </cell>
        </row>
        <row r="78">
          <cell r="A78" t="str">
            <v>20601</v>
          </cell>
          <cell r="B78" t="str">
            <v>    科学技术管理事务</v>
          </cell>
          <cell r="C78">
            <v>217</v>
          </cell>
          <cell r="D78">
            <v>80</v>
          </cell>
        </row>
        <row r="78">
          <cell r="I78">
            <v>1</v>
          </cell>
          <cell r="J78">
            <v>79</v>
          </cell>
        </row>
        <row r="78">
          <cell r="Q78">
            <v>297</v>
          </cell>
          <cell r="R78">
            <v>297</v>
          </cell>
          <cell r="S78">
            <v>0</v>
          </cell>
        </row>
        <row r="79">
          <cell r="A79" t="str">
            <v>20602</v>
          </cell>
          <cell r="B79" t="str">
            <v>    基础研究</v>
          </cell>
          <cell r="C79">
            <v>196</v>
          </cell>
          <cell r="D79">
            <v>-2</v>
          </cell>
        </row>
        <row r="79">
          <cell r="I79">
            <v>9</v>
          </cell>
          <cell r="J79">
            <v>-11</v>
          </cell>
        </row>
        <row r="79">
          <cell r="Q79">
            <v>194</v>
          </cell>
          <cell r="R79">
            <v>194</v>
          </cell>
          <cell r="S79">
            <v>0</v>
          </cell>
        </row>
        <row r="80">
          <cell r="A80" t="str">
            <v>20603</v>
          </cell>
          <cell r="B80" t="str">
            <v>    应用研究</v>
          </cell>
          <cell r="C80">
            <v>0</v>
          </cell>
          <cell r="D80">
            <v>0</v>
          </cell>
        </row>
        <row r="80">
          <cell r="Q80">
            <v>0</v>
          </cell>
        </row>
        <row r="80">
          <cell r="S80">
            <v>0</v>
          </cell>
        </row>
        <row r="81">
          <cell r="A81" t="str">
            <v>20604</v>
          </cell>
          <cell r="B81" t="str">
            <v>    技术研究与开发</v>
          </cell>
          <cell r="C81">
            <v>1674</v>
          </cell>
          <cell r="D81">
            <v>-441</v>
          </cell>
        </row>
        <row r="81">
          <cell r="I81">
            <v>37</v>
          </cell>
          <cell r="J81">
            <v>1196</v>
          </cell>
        </row>
        <row r="81">
          <cell r="N81">
            <v>-1674</v>
          </cell>
        </row>
        <row r="81">
          <cell r="Q81">
            <v>1233</v>
          </cell>
          <cell r="R81">
            <v>1233</v>
          </cell>
          <cell r="S81">
            <v>0</v>
          </cell>
        </row>
        <row r="82">
          <cell r="A82" t="str">
            <v>20605</v>
          </cell>
          <cell r="B82" t="str">
            <v>    科技条件与服务</v>
          </cell>
          <cell r="C82">
            <v>0</v>
          </cell>
          <cell r="D82">
            <v>0</v>
          </cell>
        </row>
        <row r="82">
          <cell r="Q82">
            <v>0</v>
          </cell>
        </row>
        <row r="82">
          <cell r="S82">
            <v>0</v>
          </cell>
        </row>
        <row r="83">
          <cell r="A83" t="str">
            <v>20606</v>
          </cell>
          <cell r="B83" t="str">
            <v>    社会科学</v>
          </cell>
          <cell r="C83">
            <v>0</v>
          </cell>
          <cell r="D83">
            <v>0</v>
          </cell>
        </row>
        <row r="83">
          <cell r="Q83">
            <v>0</v>
          </cell>
        </row>
        <row r="83">
          <cell r="S83">
            <v>0</v>
          </cell>
        </row>
        <row r="84">
          <cell r="A84" t="str">
            <v>20607</v>
          </cell>
          <cell r="B84" t="str">
            <v>    科学技术普及</v>
          </cell>
          <cell r="C84">
            <v>137</v>
          </cell>
          <cell r="D84">
            <v>47</v>
          </cell>
        </row>
        <row r="84">
          <cell r="I84">
            <v>11</v>
          </cell>
          <cell r="J84">
            <v>81</v>
          </cell>
        </row>
        <row r="84">
          <cell r="O84">
            <v>-55</v>
          </cell>
          <cell r="P84">
            <v>10</v>
          </cell>
          <cell r="Q84">
            <v>184</v>
          </cell>
          <cell r="R84">
            <v>159</v>
          </cell>
          <cell r="S84">
            <v>25</v>
          </cell>
        </row>
        <row r="85">
          <cell r="A85" t="str">
            <v>20608</v>
          </cell>
          <cell r="B85" t="str">
            <v>    科技交流与合作</v>
          </cell>
          <cell r="C85">
            <v>0</v>
          </cell>
          <cell r="D85">
            <v>0</v>
          </cell>
        </row>
        <row r="85">
          <cell r="Q85">
            <v>0</v>
          </cell>
        </row>
        <row r="85">
          <cell r="S85">
            <v>0</v>
          </cell>
        </row>
        <row r="86">
          <cell r="A86" t="str">
            <v>20609</v>
          </cell>
          <cell r="B86" t="str">
            <v>    科技重大项目</v>
          </cell>
          <cell r="C86">
            <v>0</v>
          </cell>
          <cell r="D86">
            <v>2</v>
          </cell>
        </row>
        <row r="86">
          <cell r="J86">
            <v>2</v>
          </cell>
        </row>
        <row r="86">
          <cell r="Q86">
            <v>2</v>
          </cell>
          <cell r="R86">
            <v>2</v>
          </cell>
          <cell r="S86">
            <v>0</v>
          </cell>
        </row>
        <row r="87">
          <cell r="A87" t="str">
            <v>20699</v>
          </cell>
          <cell r="B87" t="str">
            <v>    其他科学技术支出</v>
          </cell>
          <cell r="C87">
            <v>3</v>
          </cell>
          <cell r="D87">
            <v>1511</v>
          </cell>
        </row>
        <row r="87">
          <cell r="J87">
            <v>1514</v>
          </cell>
        </row>
        <row r="87">
          <cell r="N87">
            <v>-3</v>
          </cell>
        </row>
        <row r="87">
          <cell r="Q87">
            <v>1514</v>
          </cell>
          <cell r="R87">
            <v>1514</v>
          </cell>
          <cell r="S87">
            <v>0</v>
          </cell>
        </row>
        <row r="88">
          <cell r="A88" t="str">
            <v>207</v>
          </cell>
          <cell r="B88" t="str">
            <v>七、文化旅游体育与传媒支出</v>
          </cell>
          <cell r="C88">
            <v>4949</v>
          </cell>
          <cell r="D88">
            <v>1126</v>
          </cell>
          <cell r="E88">
            <v>16</v>
          </cell>
          <cell r="F88">
            <v>1740</v>
          </cell>
          <cell r="G88">
            <v>30</v>
          </cell>
          <cell r="H88">
            <v>0</v>
          </cell>
          <cell r="I88">
            <v>84</v>
          </cell>
          <cell r="J88">
            <v>313</v>
          </cell>
          <cell r="K88">
            <v>0</v>
          </cell>
          <cell r="L88">
            <v>0</v>
          </cell>
          <cell r="M88">
            <v>1584</v>
          </cell>
          <cell r="N88">
            <v>-28</v>
          </cell>
          <cell r="O88">
            <v>-1029</v>
          </cell>
          <cell r="P88">
            <v>-1584</v>
          </cell>
          <cell r="Q88">
            <v>6075</v>
          </cell>
          <cell r="R88">
            <v>5264</v>
          </cell>
          <cell r="S88">
            <v>811</v>
          </cell>
        </row>
        <row r="89">
          <cell r="A89" t="str">
            <v>20701</v>
          </cell>
          <cell r="B89" t="str">
            <v>    文化和旅游</v>
          </cell>
          <cell r="C89">
            <v>4165</v>
          </cell>
          <cell r="D89">
            <v>909</v>
          </cell>
          <cell r="E89">
            <v>10</v>
          </cell>
          <cell r="F89">
            <v>1364</v>
          </cell>
        </row>
        <row r="89">
          <cell r="I89">
            <v>84</v>
          </cell>
          <cell r="J89">
            <v>455</v>
          </cell>
        </row>
        <row r="89">
          <cell r="M89">
            <v>1584</v>
          </cell>
        </row>
        <row r="89">
          <cell r="O89">
            <v>-940</v>
          </cell>
          <cell r="P89">
            <v>-1648</v>
          </cell>
          <cell r="Q89">
            <v>5074</v>
          </cell>
          <cell r="R89">
            <v>4590</v>
          </cell>
          <cell r="S89">
            <v>484</v>
          </cell>
        </row>
        <row r="90">
          <cell r="A90" t="str">
            <v>20702</v>
          </cell>
          <cell r="B90" t="str">
            <v>    文物</v>
          </cell>
          <cell r="C90">
            <v>183</v>
          </cell>
          <cell r="D90">
            <v>208</v>
          </cell>
        </row>
        <row r="90">
          <cell r="F90">
            <v>341</v>
          </cell>
        </row>
        <row r="90">
          <cell r="J90">
            <v>-121</v>
          </cell>
        </row>
        <row r="90">
          <cell r="N90">
            <v>-28</v>
          </cell>
          <cell r="O90">
            <v>-34</v>
          </cell>
          <cell r="P90">
            <v>50</v>
          </cell>
          <cell r="Q90">
            <v>391</v>
          </cell>
          <cell r="R90">
            <v>197</v>
          </cell>
          <cell r="S90">
            <v>194</v>
          </cell>
        </row>
        <row r="91">
          <cell r="A91" t="str">
            <v>20703</v>
          </cell>
          <cell r="B91" t="str">
            <v>    体育</v>
          </cell>
          <cell r="C91">
            <v>24</v>
          </cell>
          <cell r="D91">
            <v>35</v>
          </cell>
          <cell r="E91">
            <v>6</v>
          </cell>
        </row>
        <row r="91">
          <cell r="G91">
            <v>30</v>
          </cell>
        </row>
        <row r="91">
          <cell r="J91">
            <v>-1</v>
          </cell>
        </row>
        <row r="91">
          <cell r="P91">
            <v>0</v>
          </cell>
          <cell r="Q91">
            <v>59</v>
          </cell>
          <cell r="R91">
            <v>23</v>
          </cell>
          <cell r="S91">
            <v>36</v>
          </cell>
        </row>
        <row r="92">
          <cell r="A92" t="str">
            <v>20706</v>
          </cell>
          <cell r="B92" t="str">
            <v>    新闻出版电影</v>
          </cell>
          <cell r="C92">
            <v>26</v>
          </cell>
          <cell r="D92">
            <v>38</v>
          </cell>
        </row>
        <row r="92">
          <cell r="F92">
            <v>35</v>
          </cell>
        </row>
        <row r="92">
          <cell r="J92">
            <v>3</v>
          </cell>
        </row>
        <row r="92">
          <cell r="P92">
            <v>0</v>
          </cell>
          <cell r="Q92">
            <v>64</v>
          </cell>
          <cell r="R92">
            <v>64</v>
          </cell>
          <cell r="S92">
            <v>0</v>
          </cell>
        </row>
        <row r="93">
          <cell r="A93" t="str">
            <v>20708</v>
          </cell>
          <cell r="B93" t="str">
            <v>    广播电视</v>
          </cell>
          <cell r="C93">
            <v>536</v>
          </cell>
          <cell r="D93">
            <v>-89</v>
          </cell>
        </row>
        <row r="93">
          <cell r="J93">
            <v>-42</v>
          </cell>
        </row>
        <row r="93">
          <cell r="O93">
            <v>-55</v>
          </cell>
          <cell r="P93">
            <v>8</v>
          </cell>
          <cell r="Q93">
            <v>447</v>
          </cell>
          <cell r="R93">
            <v>384</v>
          </cell>
          <cell r="S93">
            <v>63</v>
          </cell>
        </row>
        <row r="94">
          <cell r="A94" t="str">
            <v>20799</v>
          </cell>
          <cell r="B94" t="str">
            <v>    其他文化体育与传媒支出</v>
          </cell>
          <cell r="C94">
            <v>15</v>
          </cell>
          <cell r="D94">
            <v>25</v>
          </cell>
        </row>
        <row r="94">
          <cell r="J94">
            <v>19</v>
          </cell>
        </row>
        <row r="94">
          <cell r="O94">
            <v>0</v>
          </cell>
          <cell r="P94">
            <v>6</v>
          </cell>
          <cell r="Q94">
            <v>40</v>
          </cell>
          <cell r="R94">
            <v>6</v>
          </cell>
          <cell r="S94">
            <v>34</v>
          </cell>
        </row>
        <row r="95">
          <cell r="A95" t="str">
            <v>208</v>
          </cell>
          <cell r="B95" t="str">
            <v>八、社会保障和就业支出</v>
          </cell>
          <cell r="C95">
            <v>65144</v>
          </cell>
          <cell r="D95">
            <v>5846</v>
          </cell>
          <cell r="E95">
            <v>65</v>
          </cell>
          <cell r="F95">
            <v>3673</v>
          </cell>
          <cell r="G95">
            <v>0</v>
          </cell>
          <cell r="H95">
            <v>0</v>
          </cell>
          <cell r="I95">
            <v>508</v>
          </cell>
          <cell r="J95">
            <v>11254</v>
          </cell>
          <cell r="K95">
            <v>0</v>
          </cell>
          <cell r="L95">
            <v>0</v>
          </cell>
          <cell r="M95">
            <v>0</v>
          </cell>
          <cell r="N95">
            <v>0</v>
          </cell>
          <cell r="O95">
            <v>-11386</v>
          </cell>
          <cell r="P95">
            <v>1732</v>
          </cell>
          <cell r="Q95">
            <v>70990</v>
          </cell>
          <cell r="R95">
            <v>70163</v>
          </cell>
          <cell r="S95">
            <v>827</v>
          </cell>
        </row>
        <row r="96">
          <cell r="A96" t="str">
            <v>20801</v>
          </cell>
          <cell r="B96" t="str">
            <v>    人力资源和社会保障管理事务</v>
          </cell>
          <cell r="C96">
            <v>4296</v>
          </cell>
          <cell r="D96">
            <v>-2914</v>
          </cell>
          <cell r="E96">
            <v>44</v>
          </cell>
        </row>
        <row r="96">
          <cell r="I96">
            <v>200</v>
          </cell>
          <cell r="J96">
            <v>-5</v>
          </cell>
        </row>
        <row r="96">
          <cell r="O96">
            <v>-3153</v>
          </cell>
          <cell r="P96">
            <v>0</v>
          </cell>
          <cell r="Q96">
            <v>1382</v>
          </cell>
          <cell r="R96">
            <v>1300</v>
          </cell>
          <cell r="S96">
            <v>82</v>
          </cell>
        </row>
        <row r="97">
          <cell r="A97" t="str">
            <v>20802</v>
          </cell>
          <cell r="B97" t="str">
            <v>    民政管理事务</v>
          </cell>
          <cell r="C97">
            <v>626</v>
          </cell>
          <cell r="D97">
            <v>205</v>
          </cell>
        </row>
        <row r="97">
          <cell r="I97">
            <v>125</v>
          </cell>
          <cell r="J97">
            <v>97</v>
          </cell>
        </row>
        <row r="97">
          <cell r="O97">
            <v>-13</v>
          </cell>
          <cell r="P97">
            <v>-4</v>
          </cell>
          <cell r="Q97">
            <v>831</v>
          </cell>
          <cell r="R97">
            <v>811</v>
          </cell>
          <cell r="S97">
            <v>20</v>
          </cell>
        </row>
        <row r="98">
          <cell r="A98" t="str">
            <v>20804</v>
          </cell>
          <cell r="B98" t="str">
            <v>    补充全国社会保障基金</v>
          </cell>
          <cell r="C98">
            <v>0</v>
          </cell>
          <cell r="D98">
            <v>0</v>
          </cell>
        </row>
        <row r="98">
          <cell r="F98">
            <v>0</v>
          </cell>
        </row>
        <row r="98">
          <cell r="P98">
            <v>0</v>
          </cell>
          <cell r="Q98">
            <v>0</v>
          </cell>
        </row>
        <row r="98">
          <cell r="S98">
            <v>0</v>
          </cell>
        </row>
        <row r="99">
          <cell r="A99" t="str">
            <v>20805</v>
          </cell>
          <cell r="B99" t="str">
            <v>    行政事业单位养老支出</v>
          </cell>
          <cell r="C99">
            <v>28797</v>
          </cell>
          <cell r="D99">
            <v>-812</v>
          </cell>
        </row>
        <row r="99">
          <cell r="I99">
            <v>7</v>
          </cell>
          <cell r="J99">
            <v>6231</v>
          </cell>
        </row>
        <row r="99">
          <cell r="O99">
            <v>-7598</v>
          </cell>
          <cell r="P99">
            <v>548</v>
          </cell>
          <cell r="Q99">
            <v>27985</v>
          </cell>
          <cell r="R99">
            <v>27985</v>
          </cell>
          <cell r="S99">
            <v>0</v>
          </cell>
        </row>
        <row r="100">
          <cell r="A100" t="str">
            <v>20806</v>
          </cell>
          <cell r="B100" t="str">
            <v>    企业改革补助</v>
          </cell>
          <cell r="C100">
            <v>0</v>
          </cell>
          <cell r="D100">
            <v>0</v>
          </cell>
        </row>
        <row r="100">
          <cell r="F100">
            <v>0</v>
          </cell>
        </row>
        <row r="100">
          <cell r="P100">
            <v>0</v>
          </cell>
          <cell r="Q100">
            <v>0</v>
          </cell>
        </row>
        <row r="100">
          <cell r="S100">
            <v>0</v>
          </cell>
        </row>
        <row r="101">
          <cell r="A101" t="str">
            <v>20807</v>
          </cell>
          <cell r="B101" t="str">
            <v>    就业补助</v>
          </cell>
          <cell r="C101">
            <v>1744</v>
          </cell>
          <cell r="D101">
            <v>1114</v>
          </cell>
          <cell r="E101">
            <v>21</v>
          </cell>
        </row>
        <row r="101">
          <cell r="J101">
            <v>1005</v>
          </cell>
        </row>
        <row r="101">
          <cell r="P101">
            <v>88</v>
          </cell>
          <cell r="Q101">
            <v>2858</v>
          </cell>
          <cell r="R101">
            <v>2720</v>
          </cell>
          <cell r="S101">
            <v>138</v>
          </cell>
        </row>
        <row r="102">
          <cell r="A102" t="str">
            <v>20808</v>
          </cell>
          <cell r="B102" t="str">
            <v>    抚恤</v>
          </cell>
          <cell r="C102">
            <v>2176</v>
          </cell>
          <cell r="D102">
            <v>175</v>
          </cell>
        </row>
        <row r="102">
          <cell r="I102">
            <v>142</v>
          </cell>
          <cell r="J102">
            <v>9</v>
          </cell>
        </row>
        <row r="102">
          <cell r="O102">
            <v>-7</v>
          </cell>
          <cell r="P102">
            <v>31</v>
          </cell>
          <cell r="Q102">
            <v>2351</v>
          </cell>
          <cell r="R102">
            <v>2283</v>
          </cell>
          <cell r="S102">
            <v>68</v>
          </cell>
        </row>
        <row r="103">
          <cell r="A103" t="str">
            <v>20809</v>
          </cell>
          <cell r="B103" t="str">
            <v>    退役安置</v>
          </cell>
          <cell r="C103">
            <v>298</v>
          </cell>
          <cell r="D103">
            <v>-8</v>
          </cell>
        </row>
        <row r="103">
          <cell r="J103">
            <v>-3</v>
          </cell>
        </row>
        <row r="103">
          <cell r="O103">
            <v>-6</v>
          </cell>
          <cell r="P103">
            <v>1</v>
          </cell>
          <cell r="Q103">
            <v>290</v>
          </cell>
          <cell r="R103">
            <v>233</v>
          </cell>
          <cell r="S103">
            <v>57</v>
          </cell>
        </row>
        <row r="104">
          <cell r="A104" t="str">
            <v>20810</v>
          </cell>
          <cell r="B104" t="str">
            <v>    社会福利</v>
          </cell>
          <cell r="C104">
            <v>1092</v>
          </cell>
          <cell r="D104">
            <v>237</v>
          </cell>
        </row>
        <row r="104">
          <cell r="J104">
            <v>580</v>
          </cell>
        </row>
        <row r="104">
          <cell r="O104">
            <v>-556</v>
          </cell>
          <cell r="P104">
            <v>213</v>
          </cell>
          <cell r="Q104">
            <v>1329</v>
          </cell>
          <cell r="R104">
            <v>1329</v>
          </cell>
          <cell r="S104">
            <v>0</v>
          </cell>
        </row>
        <row r="105">
          <cell r="A105" t="str">
            <v>20811</v>
          </cell>
          <cell r="B105" t="str">
            <v>    残疾人事业</v>
          </cell>
          <cell r="C105">
            <v>1853</v>
          </cell>
          <cell r="D105">
            <v>-68</v>
          </cell>
        </row>
        <row r="105">
          <cell r="I105">
            <v>4</v>
          </cell>
          <cell r="J105">
            <v>53</v>
          </cell>
        </row>
        <row r="105">
          <cell r="O105">
            <v>-49</v>
          </cell>
          <cell r="P105">
            <v>-76</v>
          </cell>
          <cell r="Q105">
            <v>1785</v>
          </cell>
          <cell r="R105">
            <v>1650</v>
          </cell>
          <cell r="S105">
            <v>135</v>
          </cell>
        </row>
        <row r="106">
          <cell r="A106" t="str">
            <v>20816</v>
          </cell>
          <cell r="B106" t="str">
            <v>    红十字事业</v>
          </cell>
          <cell r="C106">
            <v>39</v>
          </cell>
          <cell r="D106">
            <v>11</v>
          </cell>
        </row>
        <row r="106">
          <cell r="I106">
            <v>1</v>
          </cell>
          <cell r="J106">
            <v>10</v>
          </cell>
        </row>
        <row r="106">
          <cell r="P106">
            <v>0</v>
          </cell>
          <cell r="Q106">
            <v>50</v>
          </cell>
          <cell r="R106">
            <v>50</v>
          </cell>
          <cell r="S106">
            <v>0</v>
          </cell>
        </row>
        <row r="107">
          <cell r="A107" t="str">
            <v>20819</v>
          </cell>
          <cell r="B107" t="str">
            <v>    最低生活保障</v>
          </cell>
          <cell r="C107">
            <v>6884</v>
          </cell>
          <cell r="D107">
            <v>4240</v>
          </cell>
        </row>
        <row r="107">
          <cell r="F107">
            <v>3673</v>
          </cell>
        </row>
        <row r="107">
          <cell r="J107">
            <v>567</v>
          </cell>
        </row>
        <row r="107">
          <cell r="P107">
            <v>0</v>
          </cell>
          <cell r="Q107">
            <v>11124</v>
          </cell>
          <cell r="R107">
            <v>11123</v>
          </cell>
          <cell r="S107">
            <v>1</v>
          </cell>
        </row>
        <row r="108">
          <cell r="A108" t="str">
            <v>20820</v>
          </cell>
          <cell r="B108" t="str">
            <v>    临时救助</v>
          </cell>
          <cell r="C108">
            <v>186</v>
          </cell>
          <cell r="D108">
            <v>-17</v>
          </cell>
        </row>
        <row r="108">
          <cell r="J108">
            <v>-17</v>
          </cell>
        </row>
        <row r="108">
          <cell r="P108">
            <v>0</v>
          </cell>
          <cell r="Q108">
            <v>169</v>
          </cell>
          <cell r="R108">
            <v>153</v>
          </cell>
          <cell r="S108">
            <v>16</v>
          </cell>
        </row>
        <row r="109">
          <cell r="A109" t="str">
            <v>20821</v>
          </cell>
          <cell r="B109" t="str">
            <v>    特困人员救助供养</v>
          </cell>
          <cell r="C109">
            <v>1800</v>
          </cell>
          <cell r="D109">
            <v>-10</v>
          </cell>
        </row>
        <row r="109">
          <cell r="J109">
            <v>-10</v>
          </cell>
        </row>
        <row r="109">
          <cell r="P109">
            <v>0</v>
          </cell>
          <cell r="Q109">
            <v>1790</v>
          </cell>
          <cell r="R109">
            <v>1790</v>
          </cell>
          <cell r="S109">
            <v>0</v>
          </cell>
        </row>
        <row r="110">
          <cell r="A110" t="str">
            <v>20824</v>
          </cell>
          <cell r="B110" t="str">
            <v>    补充道路交通事故社会救助基金</v>
          </cell>
          <cell r="C110">
            <v>0</v>
          </cell>
          <cell r="D110">
            <v>0</v>
          </cell>
        </row>
        <row r="110">
          <cell r="F110">
            <v>0</v>
          </cell>
        </row>
        <row r="110">
          <cell r="P110">
            <v>0</v>
          </cell>
          <cell r="Q110">
            <v>0</v>
          </cell>
        </row>
        <row r="110">
          <cell r="S110">
            <v>0</v>
          </cell>
        </row>
        <row r="111">
          <cell r="A111" t="str">
            <v>20825</v>
          </cell>
          <cell r="B111" t="str">
            <v>    其他生活救助</v>
          </cell>
          <cell r="C111">
            <v>8</v>
          </cell>
          <cell r="D111">
            <v>-1</v>
          </cell>
        </row>
        <row r="111">
          <cell r="J111">
            <v>-1</v>
          </cell>
        </row>
        <row r="111">
          <cell r="P111">
            <v>0</v>
          </cell>
          <cell r="Q111">
            <v>7</v>
          </cell>
          <cell r="R111">
            <v>7</v>
          </cell>
          <cell r="S111">
            <v>0</v>
          </cell>
        </row>
        <row r="112">
          <cell r="A112" t="str">
            <v>20826</v>
          </cell>
          <cell r="B112" t="str">
            <v>    财政对基本养老保险基金的补助</v>
          </cell>
          <cell r="C112">
            <v>11114</v>
          </cell>
          <cell r="D112">
            <v>4454</v>
          </cell>
        </row>
        <row r="112">
          <cell r="J112">
            <v>4330</v>
          </cell>
        </row>
        <row r="112">
          <cell r="P112">
            <v>124</v>
          </cell>
          <cell r="Q112">
            <v>15568</v>
          </cell>
          <cell r="R112">
            <v>15568</v>
          </cell>
          <cell r="S112">
            <v>0</v>
          </cell>
        </row>
        <row r="113">
          <cell r="A113" t="str">
            <v>20827</v>
          </cell>
          <cell r="B113" t="str">
            <v>    财政对其他社会保险基金的补助</v>
          </cell>
          <cell r="C113">
            <v>0</v>
          </cell>
          <cell r="D113">
            <v>0</v>
          </cell>
        </row>
        <row r="113">
          <cell r="F113">
            <v>0</v>
          </cell>
        </row>
        <row r="113">
          <cell r="P113">
            <v>0</v>
          </cell>
          <cell r="Q113">
            <v>0</v>
          </cell>
        </row>
        <row r="113">
          <cell r="S113">
            <v>0</v>
          </cell>
        </row>
        <row r="114">
          <cell r="A114" t="str">
            <v>20828</v>
          </cell>
          <cell r="B114" t="str">
            <v>    退役军人管理事务</v>
          </cell>
          <cell r="C114">
            <v>288</v>
          </cell>
          <cell r="D114">
            <v>-81</v>
          </cell>
        </row>
        <row r="114">
          <cell r="I114">
            <v>19</v>
          </cell>
        </row>
        <row r="114">
          <cell r="P114">
            <v>-100</v>
          </cell>
          <cell r="Q114">
            <v>207</v>
          </cell>
          <cell r="R114">
            <v>207</v>
          </cell>
          <cell r="S114">
            <v>0</v>
          </cell>
        </row>
        <row r="115">
          <cell r="A115" t="str">
            <v>20830</v>
          </cell>
          <cell r="B115" t="str">
            <v>    财政代缴社会保险费支出</v>
          </cell>
          <cell r="C115">
            <v>2745</v>
          </cell>
          <cell r="D115">
            <v>-1866</v>
          </cell>
        </row>
        <row r="115">
          <cell r="J115">
            <v>-2289</v>
          </cell>
        </row>
        <row r="115">
          <cell r="O115">
            <v>-4</v>
          </cell>
          <cell r="P115">
            <v>427</v>
          </cell>
          <cell r="Q115">
            <v>879</v>
          </cell>
          <cell r="R115">
            <v>784</v>
          </cell>
          <cell r="S115">
            <v>95</v>
          </cell>
        </row>
        <row r="116">
          <cell r="A116" t="str">
            <v>20899</v>
          </cell>
          <cell r="B116" t="str">
            <v>    其他社会保障和就业支出</v>
          </cell>
          <cell r="C116">
            <v>1198</v>
          </cell>
          <cell r="D116">
            <v>1187</v>
          </cell>
        </row>
        <row r="116">
          <cell r="I116">
            <v>10</v>
          </cell>
          <cell r="J116">
            <v>697</v>
          </cell>
        </row>
        <row r="116">
          <cell r="P116">
            <v>480</v>
          </cell>
          <cell r="Q116">
            <v>2385</v>
          </cell>
          <cell r="R116">
            <v>2170</v>
          </cell>
          <cell r="S116">
            <v>215</v>
          </cell>
        </row>
        <row r="117">
          <cell r="A117" t="str">
            <v>210</v>
          </cell>
          <cell r="B117" t="str">
            <v>九、卫生健康支出</v>
          </cell>
          <cell r="C117">
            <v>21790</v>
          </cell>
          <cell r="D117">
            <v>9631</v>
          </cell>
          <cell r="E117">
            <v>268</v>
          </cell>
          <cell r="F117">
            <v>9959</v>
          </cell>
          <cell r="G117">
            <v>0</v>
          </cell>
          <cell r="H117">
            <v>0</v>
          </cell>
          <cell r="I117">
            <v>211</v>
          </cell>
          <cell r="J117">
            <v>145</v>
          </cell>
          <cell r="K117">
            <v>0</v>
          </cell>
          <cell r="L117">
            <v>0</v>
          </cell>
          <cell r="M117">
            <v>0</v>
          </cell>
          <cell r="N117">
            <v>0</v>
          </cell>
          <cell r="O117">
            <v>-960</v>
          </cell>
          <cell r="P117">
            <v>8</v>
          </cell>
          <cell r="Q117">
            <v>31421</v>
          </cell>
          <cell r="R117">
            <v>29027</v>
          </cell>
          <cell r="S117">
            <v>2394</v>
          </cell>
        </row>
        <row r="118">
          <cell r="A118" t="str">
            <v>21001</v>
          </cell>
          <cell r="B118" t="str">
            <v>    卫生健康管理事务</v>
          </cell>
          <cell r="C118">
            <v>551</v>
          </cell>
          <cell r="D118">
            <v>-8</v>
          </cell>
        </row>
        <row r="118">
          <cell r="I118">
            <v>15</v>
          </cell>
          <cell r="J118">
            <v>-23</v>
          </cell>
        </row>
        <row r="118">
          <cell r="P118">
            <v>0</v>
          </cell>
          <cell r="Q118">
            <v>543</v>
          </cell>
          <cell r="R118">
            <v>543</v>
          </cell>
          <cell r="S118">
            <v>0</v>
          </cell>
        </row>
        <row r="119">
          <cell r="A119" t="str">
            <v>21002</v>
          </cell>
          <cell r="B119" t="str">
            <v>    公立医院</v>
          </cell>
          <cell r="C119">
            <v>2209</v>
          </cell>
          <cell r="D119">
            <v>277</v>
          </cell>
        </row>
        <row r="119">
          <cell r="J119">
            <v>521</v>
          </cell>
        </row>
        <row r="119">
          <cell r="O119">
            <v>-243</v>
          </cell>
          <cell r="P119">
            <v>-1</v>
          </cell>
          <cell r="Q119">
            <v>2486</v>
          </cell>
          <cell r="R119">
            <v>2238</v>
          </cell>
          <cell r="S119">
            <v>248</v>
          </cell>
        </row>
        <row r="120">
          <cell r="A120" t="str">
            <v>21003</v>
          </cell>
          <cell r="B120" t="str">
            <v>    基层医疗卫生机构</v>
          </cell>
          <cell r="C120">
            <v>4618</v>
          </cell>
          <cell r="D120">
            <v>922</v>
          </cell>
        </row>
        <row r="120">
          <cell r="F120">
            <v>1094</v>
          </cell>
        </row>
        <row r="120">
          <cell r="I120">
            <v>1</v>
          </cell>
        </row>
        <row r="120">
          <cell r="O120">
            <v>-173</v>
          </cell>
          <cell r="P120">
            <v>0</v>
          </cell>
          <cell r="Q120">
            <v>5540</v>
          </cell>
          <cell r="R120">
            <v>5246</v>
          </cell>
          <cell r="S120">
            <v>294</v>
          </cell>
        </row>
        <row r="121">
          <cell r="A121" t="str">
            <v>21004</v>
          </cell>
          <cell r="B121" t="str">
            <v>    公共卫生</v>
          </cell>
          <cell r="C121">
            <v>2528</v>
          </cell>
          <cell r="D121">
            <v>3582</v>
          </cell>
          <cell r="E121">
            <v>268</v>
          </cell>
          <cell r="F121">
            <v>3563</v>
          </cell>
        </row>
        <row r="121">
          <cell r="I121">
            <v>12</v>
          </cell>
        </row>
        <row r="121">
          <cell r="O121">
            <v>-286</v>
          </cell>
          <cell r="P121">
            <v>25</v>
          </cell>
          <cell r="Q121">
            <v>6110</v>
          </cell>
          <cell r="R121">
            <v>5921</v>
          </cell>
          <cell r="S121">
            <v>189</v>
          </cell>
        </row>
        <row r="122">
          <cell r="A122" t="str">
            <v>21007</v>
          </cell>
          <cell r="B122" t="str">
            <v>    计划生育事务</v>
          </cell>
          <cell r="C122">
            <v>2707</v>
          </cell>
          <cell r="D122">
            <v>-1044</v>
          </cell>
        </row>
        <row r="122">
          <cell r="J122">
            <v>-911</v>
          </cell>
        </row>
        <row r="122">
          <cell r="O122">
            <v>-133</v>
          </cell>
          <cell r="P122">
            <v>0</v>
          </cell>
          <cell r="Q122">
            <v>1663</v>
          </cell>
          <cell r="R122">
            <v>1656</v>
          </cell>
          <cell r="S122">
            <v>7</v>
          </cell>
        </row>
        <row r="123">
          <cell r="A123" t="str">
            <v>21011</v>
          </cell>
          <cell r="B123" t="str">
            <v>    行政事业单位医疗</v>
          </cell>
          <cell r="C123">
            <v>3774</v>
          </cell>
          <cell r="D123">
            <v>1903</v>
          </cell>
        </row>
        <row r="123">
          <cell r="F123">
            <v>733</v>
          </cell>
        </row>
        <row r="123">
          <cell r="I123">
            <v>52</v>
          </cell>
          <cell r="J123">
            <v>1118</v>
          </cell>
        </row>
        <row r="123">
          <cell r="P123">
            <v>0</v>
          </cell>
          <cell r="Q123">
            <v>5677</v>
          </cell>
          <cell r="R123">
            <v>5677</v>
          </cell>
          <cell r="S123">
            <v>0</v>
          </cell>
        </row>
        <row r="124">
          <cell r="A124" t="str">
            <v>21012</v>
          </cell>
          <cell r="B124" t="str">
            <v>    财政对基本医疗保险基金的补助</v>
          </cell>
          <cell r="C124">
            <v>50</v>
          </cell>
          <cell r="D124">
            <v>1050</v>
          </cell>
        </row>
        <row r="124">
          <cell r="F124">
            <v>1050</v>
          </cell>
        </row>
        <row r="124">
          <cell r="P124">
            <v>0</v>
          </cell>
          <cell r="Q124">
            <v>1100</v>
          </cell>
          <cell r="R124">
            <v>1100</v>
          </cell>
          <cell r="S124">
            <v>0</v>
          </cell>
        </row>
        <row r="125">
          <cell r="A125" t="str">
            <v>21013</v>
          </cell>
          <cell r="B125" t="str">
            <v>    医疗救助</v>
          </cell>
          <cell r="C125">
            <v>2591</v>
          </cell>
          <cell r="D125">
            <v>605</v>
          </cell>
        </row>
        <row r="125">
          <cell r="F125">
            <v>602</v>
          </cell>
        </row>
        <row r="125">
          <cell r="P125">
            <v>3</v>
          </cell>
          <cell r="Q125">
            <v>3196</v>
          </cell>
          <cell r="R125">
            <v>3196</v>
          </cell>
          <cell r="S125">
            <v>0</v>
          </cell>
        </row>
        <row r="126">
          <cell r="A126" t="str">
            <v>21014</v>
          </cell>
          <cell r="B126" t="str">
            <v>    优抚对象医疗</v>
          </cell>
          <cell r="C126">
            <v>8</v>
          </cell>
          <cell r="D126">
            <v>53</v>
          </cell>
        </row>
        <row r="126">
          <cell r="J126">
            <v>35</v>
          </cell>
        </row>
        <row r="126">
          <cell r="P126">
            <v>18</v>
          </cell>
          <cell r="Q126">
            <v>61</v>
          </cell>
          <cell r="R126">
            <v>61</v>
          </cell>
          <cell r="S126">
            <v>0</v>
          </cell>
        </row>
        <row r="127">
          <cell r="A127" t="str">
            <v>21015</v>
          </cell>
          <cell r="B127" t="str">
            <v>    医疗保障管理事务</v>
          </cell>
          <cell r="C127">
            <v>602</v>
          </cell>
          <cell r="D127">
            <v>34</v>
          </cell>
        </row>
        <row r="127">
          <cell r="I127">
            <v>4</v>
          </cell>
          <cell r="J127">
            <v>30</v>
          </cell>
        </row>
        <row r="127">
          <cell r="P127">
            <v>0</v>
          </cell>
          <cell r="Q127">
            <v>636</v>
          </cell>
          <cell r="R127">
            <v>636</v>
          </cell>
          <cell r="S127">
            <v>0</v>
          </cell>
        </row>
        <row r="128">
          <cell r="A128" t="str">
            <v>21017</v>
          </cell>
          <cell r="B128" t="str">
            <v>    中医药事务</v>
          </cell>
          <cell r="C128">
            <v>178</v>
          </cell>
          <cell r="D128">
            <v>45</v>
          </cell>
        </row>
        <row r="128">
          <cell r="J128">
            <v>45</v>
          </cell>
        </row>
        <row r="128">
          <cell r="O128">
            <v>0</v>
          </cell>
          <cell r="P128">
            <v>0</v>
          </cell>
          <cell r="Q128">
            <v>223</v>
          </cell>
          <cell r="R128">
            <v>48</v>
          </cell>
          <cell r="S128">
            <v>175</v>
          </cell>
        </row>
        <row r="129">
          <cell r="A129" t="str">
            <v>21018</v>
          </cell>
          <cell r="B129" t="str">
            <v>    疾病预防控制事务</v>
          </cell>
          <cell r="C129">
            <v>0</v>
          </cell>
          <cell r="D129">
            <v>0</v>
          </cell>
        </row>
        <row r="129">
          <cell r="F129">
            <v>0</v>
          </cell>
        </row>
        <row r="129">
          <cell r="Q129">
            <v>0</v>
          </cell>
        </row>
        <row r="129">
          <cell r="S129">
            <v>0</v>
          </cell>
        </row>
        <row r="130">
          <cell r="A130" t="str">
            <v>21019</v>
          </cell>
          <cell r="B130" t="str">
            <v>    育幼服务</v>
          </cell>
          <cell r="C130">
            <v>0</v>
          </cell>
          <cell r="D130">
            <v>2917</v>
          </cell>
        </row>
        <row r="130">
          <cell r="F130">
            <v>2917</v>
          </cell>
        </row>
        <row r="130">
          <cell r="Q130">
            <v>2917</v>
          </cell>
          <cell r="R130">
            <v>2244</v>
          </cell>
          <cell r="S130">
            <v>673</v>
          </cell>
        </row>
        <row r="131">
          <cell r="A131" t="str">
            <v>21099</v>
          </cell>
          <cell r="B131" t="str">
            <v>    其他卫生健康支出</v>
          </cell>
          <cell r="C131">
            <v>1974</v>
          </cell>
          <cell r="D131">
            <v>-705</v>
          </cell>
        </row>
        <row r="131">
          <cell r="I131">
            <v>127</v>
          </cell>
          <cell r="J131">
            <v>-670</v>
          </cell>
        </row>
        <row r="131">
          <cell r="O131">
            <v>-125</v>
          </cell>
          <cell r="P131">
            <v>-37</v>
          </cell>
          <cell r="Q131">
            <v>1269</v>
          </cell>
          <cell r="R131">
            <v>461</v>
          </cell>
          <cell r="S131">
            <v>808</v>
          </cell>
        </row>
        <row r="132">
          <cell r="A132" t="str">
            <v>211</v>
          </cell>
          <cell r="B132" t="str">
            <v>十、节能环保支出</v>
          </cell>
          <cell r="C132">
            <v>4252</v>
          </cell>
          <cell r="D132">
            <v>-1562</v>
          </cell>
          <cell r="E132">
            <v>112</v>
          </cell>
          <cell r="F132">
            <v>0</v>
          </cell>
          <cell r="G132">
            <v>61</v>
          </cell>
          <cell r="H132">
            <v>0</v>
          </cell>
          <cell r="I132">
            <v>0</v>
          </cell>
          <cell r="J132">
            <v>-1719</v>
          </cell>
          <cell r="K132">
            <v>0</v>
          </cell>
          <cell r="L132">
            <v>0</v>
          </cell>
          <cell r="M132">
            <v>180</v>
          </cell>
          <cell r="N132">
            <v>-337</v>
          </cell>
          <cell r="O132">
            <v>0</v>
          </cell>
          <cell r="P132">
            <v>141</v>
          </cell>
          <cell r="Q132">
            <v>2690</v>
          </cell>
          <cell r="R132">
            <v>2116</v>
          </cell>
          <cell r="S132">
            <v>574</v>
          </cell>
        </row>
        <row r="133">
          <cell r="A133" t="str">
            <v>21101</v>
          </cell>
          <cell r="B133" t="str">
            <v>    环境保护管理事务</v>
          </cell>
          <cell r="C133">
            <v>0</v>
          </cell>
          <cell r="D133">
            <v>0</v>
          </cell>
        </row>
        <row r="133">
          <cell r="F133">
            <v>0</v>
          </cell>
        </row>
        <row r="133">
          <cell r="P133">
            <v>0</v>
          </cell>
          <cell r="Q133">
            <v>0</v>
          </cell>
        </row>
        <row r="133">
          <cell r="S133">
            <v>0</v>
          </cell>
        </row>
        <row r="134">
          <cell r="A134" t="str">
            <v>21102</v>
          </cell>
          <cell r="B134" t="str">
            <v>    环境监测与监察</v>
          </cell>
          <cell r="C134">
            <v>0</v>
          </cell>
          <cell r="D134">
            <v>0</v>
          </cell>
        </row>
        <row r="134">
          <cell r="F134">
            <v>0</v>
          </cell>
        </row>
        <row r="134">
          <cell r="P134">
            <v>0</v>
          </cell>
          <cell r="Q134">
            <v>0</v>
          </cell>
        </row>
        <row r="134">
          <cell r="S134">
            <v>0</v>
          </cell>
        </row>
        <row r="135">
          <cell r="A135" t="str">
            <v>21103</v>
          </cell>
          <cell r="B135" t="str">
            <v>    污染防治</v>
          </cell>
          <cell r="C135">
            <v>79</v>
          </cell>
          <cell r="D135">
            <v>40</v>
          </cell>
          <cell r="E135">
            <v>112</v>
          </cell>
        </row>
        <row r="135">
          <cell r="J135">
            <v>-371</v>
          </cell>
        </row>
        <row r="135">
          <cell r="O135">
            <v>0</v>
          </cell>
          <cell r="P135">
            <v>299</v>
          </cell>
          <cell r="Q135">
            <v>119</v>
          </cell>
          <cell r="R135">
            <v>7</v>
          </cell>
          <cell r="S135">
            <v>112</v>
          </cell>
        </row>
        <row r="136">
          <cell r="A136" t="str">
            <v>21104</v>
          </cell>
          <cell r="B136" t="str">
            <v>    自然生态保护</v>
          </cell>
          <cell r="C136">
            <v>2059</v>
          </cell>
          <cell r="D136">
            <v>-94</v>
          </cell>
        </row>
        <row r="136">
          <cell r="J136">
            <v>6</v>
          </cell>
        </row>
        <row r="136">
          <cell r="O136">
            <v>0</v>
          </cell>
          <cell r="P136">
            <v>-100</v>
          </cell>
          <cell r="Q136">
            <v>1965</v>
          </cell>
          <cell r="R136">
            <v>1904</v>
          </cell>
          <cell r="S136">
            <v>61</v>
          </cell>
        </row>
        <row r="137">
          <cell r="A137" t="str">
            <v>21105</v>
          </cell>
          <cell r="B137" t="str">
            <v>    森林保护修复</v>
          </cell>
          <cell r="C137">
            <v>1537</v>
          </cell>
          <cell r="D137">
            <v>-1041</v>
          </cell>
        </row>
        <row r="137">
          <cell r="J137">
            <v>-1041</v>
          </cell>
        </row>
        <row r="137">
          <cell r="O137">
            <v>0</v>
          </cell>
          <cell r="P137">
            <v>0</v>
          </cell>
          <cell r="Q137">
            <v>496</v>
          </cell>
          <cell r="R137">
            <v>156</v>
          </cell>
          <cell r="S137">
            <v>340</v>
          </cell>
        </row>
        <row r="138">
          <cell r="A138" t="str">
            <v>21106</v>
          </cell>
          <cell r="B138" t="str">
            <v>    风沙荒漠治理</v>
          </cell>
          <cell r="C138">
            <v>0</v>
          </cell>
          <cell r="D138">
            <v>0</v>
          </cell>
        </row>
        <row r="138">
          <cell r="P138">
            <v>0</v>
          </cell>
          <cell r="Q138">
            <v>0</v>
          </cell>
        </row>
        <row r="138">
          <cell r="S138">
            <v>0</v>
          </cell>
        </row>
        <row r="139">
          <cell r="A139" t="str">
            <v>21107</v>
          </cell>
          <cell r="B139" t="str">
            <v>    退牧还草</v>
          </cell>
          <cell r="C139">
            <v>0</v>
          </cell>
          <cell r="D139">
            <v>0</v>
          </cell>
        </row>
        <row r="139">
          <cell r="P139">
            <v>0</v>
          </cell>
          <cell r="Q139">
            <v>0</v>
          </cell>
        </row>
        <row r="139">
          <cell r="S139">
            <v>0</v>
          </cell>
        </row>
        <row r="140">
          <cell r="A140" t="str">
            <v>21109</v>
          </cell>
          <cell r="B140" t="str">
            <v>    已垦草原退耕还草</v>
          </cell>
          <cell r="C140">
            <v>0</v>
          </cell>
          <cell r="D140">
            <v>0</v>
          </cell>
        </row>
        <row r="140">
          <cell r="P140">
            <v>0</v>
          </cell>
          <cell r="Q140">
            <v>0</v>
          </cell>
        </row>
        <row r="140">
          <cell r="S140">
            <v>0</v>
          </cell>
        </row>
        <row r="141">
          <cell r="A141" t="str">
            <v>21110</v>
          </cell>
          <cell r="B141" t="str">
            <v>    能源节约利用</v>
          </cell>
          <cell r="C141">
            <v>0</v>
          </cell>
          <cell r="D141">
            <v>61</v>
          </cell>
        </row>
        <row r="141">
          <cell r="G141">
            <v>61</v>
          </cell>
        </row>
        <row r="141">
          <cell r="J141">
            <v>-122</v>
          </cell>
        </row>
        <row r="141">
          <cell r="O141">
            <v>0</v>
          </cell>
          <cell r="P141">
            <v>122</v>
          </cell>
          <cell r="Q141">
            <v>61</v>
          </cell>
        </row>
        <row r="141">
          <cell r="S141">
            <v>61</v>
          </cell>
        </row>
        <row r="142">
          <cell r="A142" t="str">
            <v>21111</v>
          </cell>
          <cell r="B142" t="str">
            <v>    污染减排</v>
          </cell>
          <cell r="C142">
            <v>100</v>
          </cell>
          <cell r="D142">
            <v>-69</v>
          </cell>
        </row>
        <row r="142">
          <cell r="J142">
            <v>31</v>
          </cell>
        </row>
        <row r="142">
          <cell r="N142">
            <v>-100</v>
          </cell>
        </row>
        <row r="142">
          <cell r="P142">
            <v>0</v>
          </cell>
          <cell r="Q142">
            <v>31</v>
          </cell>
          <cell r="R142">
            <v>31</v>
          </cell>
          <cell r="S142">
            <v>0</v>
          </cell>
        </row>
        <row r="143">
          <cell r="A143" t="str">
            <v>21112</v>
          </cell>
          <cell r="B143" t="str">
            <v>    清洁能源</v>
          </cell>
          <cell r="C143">
            <v>240</v>
          </cell>
          <cell r="D143">
            <v>-222</v>
          </cell>
        </row>
        <row r="143">
          <cell r="J143">
            <v>-222</v>
          </cell>
        </row>
        <row r="143">
          <cell r="M143">
            <v>180</v>
          </cell>
        </row>
        <row r="143">
          <cell r="O143">
            <v>0</v>
          </cell>
          <cell r="P143">
            <v>-180</v>
          </cell>
          <cell r="Q143">
            <v>18</v>
          </cell>
          <cell r="R143">
            <v>18</v>
          </cell>
          <cell r="S143">
            <v>0</v>
          </cell>
        </row>
        <row r="144">
          <cell r="A144" t="str">
            <v>21113</v>
          </cell>
          <cell r="B144" t="str">
            <v>    循环经济</v>
          </cell>
          <cell r="C144">
            <v>0</v>
          </cell>
          <cell r="D144">
            <v>0</v>
          </cell>
        </row>
        <row r="144">
          <cell r="F144">
            <v>0</v>
          </cell>
        </row>
        <row r="144">
          <cell r="P144">
            <v>0</v>
          </cell>
          <cell r="Q144">
            <v>0</v>
          </cell>
        </row>
        <row r="144">
          <cell r="S144">
            <v>0</v>
          </cell>
        </row>
        <row r="145">
          <cell r="A145" t="str">
            <v>21114</v>
          </cell>
          <cell r="B145" t="str">
            <v>    能源管理事务</v>
          </cell>
          <cell r="C145">
            <v>237</v>
          </cell>
          <cell r="D145">
            <v>-237</v>
          </cell>
        </row>
        <row r="145">
          <cell r="N145">
            <v>-237</v>
          </cell>
        </row>
        <row r="145">
          <cell r="P145">
            <v>0</v>
          </cell>
          <cell r="Q145">
            <v>0</v>
          </cell>
        </row>
        <row r="145">
          <cell r="S145">
            <v>0</v>
          </cell>
        </row>
        <row r="146">
          <cell r="A146" t="str">
            <v>21199</v>
          </cell>
          <cell r="B146" t="str">
            <v>    其他节能环保支出</v>
          </cell>
          <cell r="C146">
            <v>0</v>
          </cell>
          <cell r="D146">
            <v>0</v>
          </cell>
        </row>
        <row r="146">
          <cell r="F146">
            <v>0</v>
          </cell>
        </row>
        <row r="146">
          <cell r="P146">
            <v>0</v>
          </cell>
          <cell r="Q146">
            <v>0</v>
          </cell>
        </row>
        <row r="146">
          <cell r="S146">
            <v>0</v>
          </cell>
        </row>
        <row r="147">
          <cell r="A147" t="str">
            <v>212</v>
          </cell>
          <cell r="B147" t="str">
            <v>十一、城乡社区支出</v>
          </cell>
          <cell r="C147">
            <v>5427</v>
          </cell>
          <cell r="D147">
            <v>731</v>
          </cell>
          <cell r="E147">
            <v>192</v>
          </cell>
          <cell r="F147">
            <v>2228</v>
          </cell>
          <cell r="G147">
            <v>100</v>
          </cell>
          <cell r="H147">
            <v>0</v>
          </cell>
          <cell r="I147">
            <v>154</v>
          </cell>
          <cell r="J147">
            <v>-1296</v>
          </cell>
          <cell r="K147">
            <v>0</v>
          </cell>
          <cell r="L147">
            <v>0</v>
          </cell>
          <cell r="M147">
            <v>0</v>
          </cell>
          <cell r="N147">
            <v>-204</v>
          </cell>
          <cell r="O147">
            <v>-75</v>
          </cell>
          <cell r="P147">
            <v>-368</v>
          </cell>
          <cell r="Q147">
            <v>6158</v>
          </cell>
          <cell r="R147">
            <v>4950</v>
          </cell>
          <cell r="S147">
            <v>1208</v>
          </cell>
        </row>
        <row r="148">
          <cell r="A148" t="str">
            <v>21201</v>
          </cell>
          <cell r="B148" t="str">
            <v>      城乡社区管理事务</v>
          </cell>
          <cell r="C148">
            <v>2180</v>
          </cell>
          <cell r="D148">
            <v>193</v>
          </cell>
        </row>
        <row r="148">
          <cell r="F148">
            <v>139</v>
          </cell>
        </row>
        <row r="148">
          <cell r="I148">
            <v>54</v>
          </cell>
        </row>
        <row r="148">
          <cell r="P148">
            <v>0</v>
          </cell>
          <cell r="Q148">
            <v>2373</v>
          </cell>
          <cell r="R148">
            <v>2373</v>
          </cell>
          <cell r="S148">
            <v>0</v>
          </cell>
        </row>
        <row r="149">
          <cell r="A149" t="str">
            <v>21202</v>
          </cell>
          <cell r="B149" t="str">
            <v>      城乡社区规划与管理</v>
          </cell>
          <cell r="C149">
            <v>0</v>
          </cell>
          <cell r="D149">
            <v>0</v>
          </cell>
        </row>
        <row r="149">
          <cell r="F149">
            <v>0</v>
          </cell>
        </row>
        <row r="149">
          <cell r="P149">
            <v>0</v>
          </cell>
          <cell r="Q149">
            <v>0</v>
          </cell>
        </row>
        <row r="149">
          <cell r="S149">
            <v>0</v>
          </cell>
        </row>
        <row r="150">
          <cell r="A150" t="str">
            <v>21203</v>
          </cell>
          <cell r="B150" t="str">
            <v>      城乡社区公共设施</v>
          </cell>
          <cell r="C150">
            <v>3011</v>
          </cell>
          <cell r="D150">
            <v>-1350</v>
          </cell>
        </row>
        <row r="150">
          <cell r="F150">
            <v>410</v>
          </cell>
        </row>
        <row r="150">
          <cell r="I150">
            <v>30</v>
          </cell>
          <cell r="J150">
            <v>-1296</v>
          </cell>
        </row>
        <row r="150">
          <cell r="O150">
            <v>-75</v>
          </cell>
          <cell r="P150">
            <v>-419</v>
          </cell>
          <cell r="Q150">
            <v>1661</v>
          </cell>
          <cell r="R150">
            <v>728</v>
          </cell>
          <cell r="S150">
            <v>933</v>
          </cell>
        </row>
        <row r="151">
          <cell r="A151" t="str">
            <v>21205</v>
          </cell>
          <cell r="B151" t="str">
            <v>      城乡社区环境卫生</v>
          </cell>
          <cell r="C151">
            <v>32</v>
          </cell>
          <cell r="D151">
            <v>549</v>
          </cell>
        </row>
        <row r="151">
          <cell r="F151">
            <v>479</v>
          </cell>
        </row>
        <row r="151">
          <cell r="I151">
            <v>70</v>
          </cell>
        </row>
        <row r="151">
          <cell r="P151">
            <v>0</v>
          </cell>
          <cell r="Q151">
            <v>581</v>
          </cell>
          <cell r="R151">
            <v>526</v>
          </cell>
          <cell r="S151">
            <v>55</v>
          </cell>
        </row>
        <row r="152">
          <cell r="A152" t="str">
            <v>21206</v>
          </cell>
          <cell r="B152" t="str">
            <v>      建设市场管理与监督</v>
          </cell>
          <cell r="C152">
            <v>0</v>
          </cell>
          <cell r="D152">
            <v>0</v>
          </cell>
        </row>
        <row r="152">
          <cell r="F152">
            <v>0</v>
          </cell>
        </row>
        <row r="152">
          <cell r="P152">
            <v>0</v>
          </cell>
          <cell r="Q152">
            <v>0</v>
          </cell>
        </row>
        <row r="152">
          <cell r="S152">
            <v>0</v>
          </cell>
        </row>
        <row r="153">
          <cell r="A153" t="str">
            <v>21299</v>
          </cell>
          <cell r="B153" t="str">
            <v>      其他城乡社区支出</v>
          </cell>
          <cell r="C153">
            <v>204</v>
          </cell>
          <cell r="D153">
            <v>1339</v>
          </cell>
          <cell r="E153">
            <v>192</v>
          </cell>
          <cell r="F153">
            <v>1200</v>
          </cell>
          <cell r="G153">
            <v>100</v>
          </cell>
        </row>
        <row r="153">
          <cell r="N153">
            <v>-204</v>
          </cell>
        </row>
        <row r="153">
          <cell r="P153">
            <v>51</v>
          </cell>
          <cell r="Q153">
            <v>1543</v>
          </cell>
          <cell r="R153">
            <v>1323</v>
          </cell>
          <cell r="S153">
            <v>220</v>
          </cell>
        </row>
        <row r="154">
          <cell r="A154" t="str">
            <v>213</v>
          </cell>
          <cell r="B154" t="str">
            <v>十二、农林水支出</v>
          </cell>
          <cell r="C154">
            <v>109607</v>
          </cell>
          <cell r="D154">
            <v>-219</v>
          </cell>
          <cell r="E154">
            <v>6253</v>
          </cell>
          <cell r="F154">
            <v>15285</v>
          </cell>
          <cell r="G154">
            <v>35</v>
          </cell>
          <cell r="H154">
            <v>0</v>
          </cell>
          <cell r="I154">
            <v>524</v>
          </cell>
          <cell r="J154">
            <v>-12104</v>
          </cell>
          <cell r="K154">
            <v>0</v>
          </cell>
          <cell r="L154">
            <v>1597</v>
          </cell>
          <cell r="M154">
            <v>19463</v>
          </cell>
          <cell r="N154">
            <v>-364</v>
          </cell>
          <cell r="O154">
            <v>-9155</v>
          </cell>
          <cell r="P154">
            <v>-21753</v>
          </cell>
          <cell r="Q154">
            <v>109388</v>
          </cell>
          <cell r="R154">
            <v>95785</v>
          </cell>
          <cell r="S154">
            <v>13603</v>
          </cell>
        </row>
        <row r="155">
          <cell r="A155" t="str">
            <v>21301</v>
          </cell>
          <cell r="B155" t="str">
            <v>      农业</v>
          </cell>
          <cell r="C155">
            <v>16907</v>
          </cell>
          <cell r="D155">
            <v>-1638</v>
          </cell>
        </row>
        <row r="155">
          <cell r="I155">
            <v>139</v>
          </cell>
          <cell r="J155">
            <v>2607</v>
          </cell>
        </row>
        <row r="155">
          <cell r="M155">
            <v>2764</v>
          </cell>
        </row>
        <row r="155">
          <cell r="O155">
            <v>-4384</v>
          </cell>
          <cell r="P155">
            <v>-2764</v>
          </cell>
          <cell r="Q155">
            <v>15269</v>
          </cell>
          <cell r="R155">
            <v>13962</v>
          </cell>
          <cell r="S155">
            <v>1307</v>
          </cell>
        </row>
        <row r="156">
          <cell r="A156" t="str">
            <v>21302</v>
          </cell>
          <cell r="B156" t="str">
            <v>      林业和草原</v>
          </cell>
          <cell r="C156">
            <v>12897</v>
          </cell>
          <cell r="D156">
            <v>413</v>
          </cell>
          <cell r="E156">
            <v>925</v>
          </cell>
        </row>
        <row r="156">
          <cell r="I156">
            <v>19</v>
          </cell>
          <cell r="J156">
            <v>2043</v>
          </cell>
        </row>
        <row r="156">
          <cell r="L156">
            <v>1360</v>
          </cell>
          <cell r="M156">
            <v>3345</v>
          </cell>
        </row>
        <row r="156">
          <cell r="O156">
            <v>-2241</v>
          </cell>
          <cell r="P156">
            <v>-5038</v>
          </cell>
          <cell r="Q156">
            <v>13310</v>
          </cell>
          <cell r="R156">
            <v>9419</v>
          </cell>
          <cell r="S156">
            <v>3891</v>
          </cell>
        </row>
        <row r="157">
          <cell r="A157" t="str">
            <v>21303</v>
          </cell>
          <cell r="B157" t="str">
            <v>      水利</v>
          </cell>
          <cell r="C157">
            <v>4744</v>
          </cell>
          <cell r="D157">
            <v>1121</v>
          </cell>
          <cell r="E157">
            <v>480</v>
          </cell>
          <cell r="F157">
            <v>971</v>
          </cell>
        </row>
        <row r="157">
          <cell r="I157">
            <v>59</v>
          </cell>
          <cell r="J157">
            <v>-68</v>
          </cell>
        </row>
        <row r="157">
          <cell r="L157">
            <v>237</v>
          </cell>
          <cell r="M157">
            <v>389</v>
          </cell>
        </row>
        <row r="157">
          <cell r="O157">
            <v>-558</v>
          </cell>
          <cell r="P157">
            <v>-389</v>
          </cell>
          <cell r="Q157">
            <v>5865</v>
          </cell>
          <cell r="R157">
            <v>3322</v>
          </cell>
          <cell r="S157">
            <v>2543</v>
          </cell>
        </row>
        <row r="158">
          <cell r="A158" t="str">
            <v>21305</v>
          </cell>
          <cell r="B158" t="str">
            <v>       巩固脱贫攻坚成果衔接乡村振兴</v>
          </cell>
          <cell r="C158">
            <v>46919</v>
          </cell>
          <cell r="D158">
            <v>16650</v>
          </cell>
          <cell r="E158">
            <v>3226</v>
          </cell>
          <cell r="F158">
            <v>14314</v>
          </cell>
        </row>
        <row r="158">
          <cell r="I158">
            <v>169</v>
          </cell>
        </row>
        <row r="158">
          <cell r="M158">
            <v>2667</v>
          </cell>
          <cell r="N158">
            <v>-364</v>
          </cell>
          <cell r="O158">
            <v>-602</v>
          </cell>
          <cell r="P158">
            <v>-2760</v>
          </cell>
          <cell r="Q158">
            <v>63569</v>
          </cell>
          <cell r="R158">
            <v>60021</v>
          </cell>
          <cell r="S158">
            <v>3548</v>
          </cell>
        </row>
        <row r="159">
          <cell r="A159" t="str">
            <v>21307</v>
          </cell>
          <cell r="B159" t="str">
            <v>      农村综合改革</v>
          </cell>
          <cell r="C159">
            <v>9065</v>
          </cell>
          <cell r="D159">
            <v>-1304</v>
          </cell>
          <cell r="E159">
            <v>453</v>
          </cell>
        </row>
        <row r="159">
          <cell r="G159">
            <v>35</v>
          </cell>
        </row>
        <row r="159">
          <cell r="I159">
            <v>123</v>
          </cell>
          <cell r="J159">
            <v>-610</v>
          </cell>
        </row>
        <row r="159">
          <cell r="M159">
            <v>2365</v>
          </cell>
        </row>
        <row r="159">
          <cell r="O159">
            <v>-1305</v>
          </cell>
          <cell r="P159">
            <v>-2365</v>
          </cell>
          <cell r="Q159">
            <v>7761</v>
          </cell>
          <cell r="R159">
            <v>7043</v>
          </cell>
          <cell r="S159">
            <v>718</v>
          </cell>
        </row>
        <row r="160">
          <cell r="A160" t="str">
            <v>21308</v>
          </cell>
          <cell r="B160" t="str">
            <v>      普惠金融发展支出</v>
          </cell>
          <cell r="C160">
            <v>953</v>
          </cell>
          <cell r="D160">
            <v>-268</v>
          </cell>
        </row>
        <row r="160">
          <cell r="J160">
            <v>-504</v>
          </cell>
        </row>
        <row r="160">
          <cell r="O160">
            <v>-62</v>
          </cell>
          <cell r="P160">
            <v>298</v>
          </cell>
          <cell r="Q160">
            <v>685</v>
          </cell>
          <cell r="R160">
            <v>258</v>
          </cell>
          <cell r="S160">
            <v>427</v>
          </cell>
        </row>
        <row r="161">
          <cell r="A161" t="str">
            <v>21309</v>
          </cell>
          <cell r="B161" t="str">
            <v>      目标价格补贴</v>
          </cell>
          <cell r="C161">
            <v>0</v>
          </cell>
          <cell r="D161">
            <v>169</v>
          </cell>
          <cell r="E161">
            <v>169</v>
          </cell>
        </row>
        <row r="161">
          <cell r="P161">
            <v>0</v>
          </cell>
          <cell r="Q161">
            <v>169</v>
          </cell>
        </row>
        <row r="161">
          <cell r="S161">
            <v>169</v>
          </cell>
        </row>
        <row r="162">
          <cell r="A162" t="str">
            <v>21399</v>
          </cell>
          <cell r="B162" t="str">
            <v>      其他农林水支出</v>
          </cell>
          <cell r="C162">
            <v>18122</v>
          </cell>
          <cell r="D162">
            <v>-15362</v>
          </cell>
          <cell r="E162">
            <v>1000</v>
          </cell>
        </row>
        <row r="162">
          <cell r="I162">
            <v>15</v>
          </cell>
          <cell r="J162">
            <v>-15572</v>
          </cell>
        </row>
        <row r="162">
          <cell r="M162">
            <v>7933</v>
          </cell>
        </row>
        <row r="162">
          <cell r="O162">
            <v>-3</v>
          </cell>
          <cell r="P162">
            <v>-8735</v>
          </cell>
          <cell r="Q162">
            <v>2760</v>
          </cell>
          <cell r="R162">
            <v>1760</v>
          </cell>
          <cell r="S162">
            <v>1000</v>
          </cell>
        </row>
        <row r="163">
          <cell r="A163" t="str">
            <v>214</v>
          </cell>
          <cell r="B163" t="str">
            <v>十三、交通运输支出</v>
          </cell>
          <cell r="C163">
            <v>18242</v>
          </cell>
          <cell r="D163">
            <v>-13456</v>
          </cell>
          <cell r="E163">
            <v>684</v>
          </cell>
          <cell r="F163">
            <v>855</v>
          </cell>
          <cell r="G163">
            <v>123</v>
          </cell>
          <cell r="H163">
            <v>0</v>
          </cell>
          <cell r="I163">
            <v>3</v>
          </cell>
          <cell r="J163">
            <v>-12151</v>
          </cell>
          <cell r="K163">
            <v>0</v>
          </cell>
          <cell r="L163">
            <v>0</v>
          </cell>
          <cell r="M163">
            <v>1360</v>
          </cell>
          <cell r="N163">
            <v>-75</v>
          </cell>
          <cell r="O163">
            <v>-2356</v>
          </cell>
          <cell r="P163">
            <v>-1899</v>
          </cell>
          <cell r="Q163">
            <v>4786</v>
          </cell>
          <cell r="R163">
            <v>2394</v>
          </cell>
          <cell r="S163">
            <v>2392</v>
          </cell>
        </row>
        <row r="164">
          <cell r="A164" t="str">
            <v>21401</v>
          </cell>
          <cell r="B164" t="str">
            <v>      公路水路运输</v>
          </cell>
          <cell r="C164">
            <v>18102</v>
          </cell>
          <cell r="D164">
            <v>-13764</v>
          </cell>
          <cell r="E164">
            <v>684</v>
          </cell>
          <cell r="F164">
            <v>416</v>
          </cell>
          <cell r="G164">
            <v>123</v>
          </cell>
        </row>
        <row r="164">
          <cell r="I164">
            <v>1</v>
          </cell>
          <cell r="J164">
            <v>-11553</v>
          </cell>
        </row>
        <row r="164">
          <cell r="M164">
            <v>1360</v>
          </cell>
          <cell r="N164">
            <v>-75</v>
          </cell>
          <cell r="O164">
            <v>-2356</v>
          </cell>
          <cell r="P164">
            <v>-2364</v>
          </cell>
          <cell r="Q164">
            <v>4338</v>
          </cell>
          <cell r="R164">
            <v>2383</v>
          </cell>
          <cell r="S164">
            <v>1955</v>
          </cell>
        </row>
        <row r="165">
          <cell r="A165" t="str">
            <v>21402</v>
          </cell>
          <cell r="B165" t="str">
            <v>      铁路运输</v>
          </cell>
          <cell r="C165">
            <v>8</v>
          </cell>
          <cell r="D165">
            <v>-1</v>
          </cell>
        </row>
        <row r="165">
          <cell r="J165">
            <v>-1</v>
          </cell>
        </row>
        <row r="165">
          <cell r="P165">
            <v>0</v>
          </cell>
          <cell r="Q165">
            <v>7</v>
          </cell>
          <cell r="R165">
            <v>7</v>
          </cell>
          <cell r="S165">
            <v>0</v>
          </cell>
        </row>
        <row r="166">
          <cell r="A166" t="str">
            <v>21403</v>
          </cell>
          <cell r="B166" t="str">
            <v>      民用航空运输</v>
          </cell>
          <cell r="C166">
            <v>0</v>
          </cell>
          <cell r="D166">
            <v>0</v>
          </cell>
        </row>
        <row r="166">
          <cell r="F166">
            <v>0</v>
          </cell>
        </row>
        <row r="166">
          <cell r="P166">
            <v>0</v>
          </cell>
          <cell r="Q166">
            <v>0</v>
          </cell>
        </row>
        <row r="166">
          <cell r="S166">
            <v>0</v>
          </cell>
        </row>
        <row r="167">
          <cell r="A167" t="str">
            <v>21406</v>
          </cell>
          <cell r="B167" t="str">
            <v>      邮政业支出</v>
          </cell>
          <cell r="C167">
            <v>0</v>
          </cell>
          <cell r="D167">
            <v>0</v>
          </cell>
        </row>
        <row r="167">
          <cell r="F167">
            <v>0</v>
          </cell>
        </row>
        <row r="167">
          <cell r="P167">
            <v>0</v>
          </cell>
          <cell r="Q167">
            <v>0</v>
          </cell>
        </row>
        <row r="167">
          <cell r="S167">
            <v>0</v>
          </cell>
        </row>
        <row r="168">
          <cell r="A168" t="str">
            <v>21499</v>
          </cell>
          <cell r="B168" t="str">
            <v>      其他交通运输支出</v>
          </cell>
          <cell r="C168">
            <v>132</v>
          </cell>
          <cell r="D168">
            <v>309</v>
          </cell>
        </row>
        <row r="168">
          <cell r="F168">
            <v>439</v>
          </cell>
        </row>
        <row r="168">
          <cell r="I168">
            <v>2</v>
          </cell>
          <cell r="J168">
            <v>-597</v>
          </cell>
        </row>
        <row r="168">
          <cell r="O168">
            <v>0</v>
          </cell>
          <cell r="P168">
            <v>465</v>
          </cell>
          <cell r="Q168">
            <v>441</v>
          </cell>
          <cell r="R168">
            <v>4</v>
          </cell>
          <cell r="S168">
            <v>437</v>
          </cell>
        </row>
        <row r="169">
          <cell r="A169" t="str">
            <v>215</v>
          </cell>
          <cell r="B169" t="str">
            <v>十四、资源勘探信息等支出</v>
          </cell>
          <cell r="C169">
            <v>753</v>
          </cell>
          <cell r="D169">
            <v>194</v>
          </cell>
          <cell r="E169">
            <v>187</v>
          </cell>
          <cell r="F169">
            <v>18</v>
          </cell>
          <cell r="G169">
            <v>2</v>
          </cell>
          <cell r="H169">
            <v>0</v>
          </cell>
          <cell r="I169">
            <v>16</v>
          </cell>
          <cell r="J169">
            <v>-34</v>
          </cell>
          <cell r="K169">
            <v>0</v>
          </cell>
          <cell r="L169">
            <v>0</v>
          </cell>
          <cell r="M169">
            <v>0</v>
          </cell>
          <cell r="N169">
            <v>0</v>
          </cell>
          <cell r="O169">
            <v>0</v>
          </cell>
          <cell r="P169">
            <v>5</v>
          </cell>
          <cell r="Q169">
            <v>947</v>
          </cell>
          <cell r="R169">
            <v>889</v>
          </cell>
          <cell r="S169">
            <v>58</v>
          </cell>
        </row>
        <row r="170">
          <cell r="A170" t="str">
            <v>21501</v>
          </cell>
          <cell r="B170" t="str">
            <v>      资源勘探开发</v>
          </cell>
        </row>
        <row r="170">
          <cell r="D170">
            <v>33</v>
          </cell>
        </row>
        <row r="170">
          <cell r="F170">
            <v>17</v>
          </cell>
        </row>
        <row r="170">
          <cell r="I170">
            <v>16</v>
          </cell>
        </row>
        <row r="170">
          <cell r="Q170">
            <v>33</v>
          </cell>
          <cell r="R170">
            <v>33</v>
          </cell>
          <cell r="S170">
            <v>0</v>
          </cell>
        </row>
        <row r="171">
          <cell r="A171" t="str">
            <v>21502</v>
          </cell>
          <cell r="B171" t="str">
            <v>      制造业</v>
          </cell>
          <cell r="C171">
            <v>153</v>
          </cell>
          <cell r="D171">
            <v>159</v>
          </cell>
          <cell r="E171">
            <v>187</v>
          </cell>
          <cell r="F171">
            <v>1</v>
          </cell>
        </row>
        <row r="171">
          <cell r="J171">
            <v>-34</v>
          </cell>
        </row>
        <row r="171">
          <cell r="O171">
            <v>0</v>
          </cell>
          <cell r="P171">
            <v>5</v>
          </cell>
          <cell r="Q171">
            <v>312</v>
          </cell>
          <cell r="R171">
            <v>256</v>
          </cell>
          <cell r="S171">
            <v>56</v>
          </cell>
        </row>
        <row r="172">
          <cell r="A172" t="str">
            <v>21503</v>
          </cell>
          <cell r="B172" t="str">
            <v>      建筑业</v>
          </cell>
        </row>
        <row r="172">
          <cell r="D172">
            <v>0</v>
          </cell>
        </row>
        <row r="172">
          <cell r="F172">
            <v>0</v>
          </cell>
        </row>
        <row r="172">
          <cell r="Q172">
            <v>0</v>
          </cell>
        </row>
        <row r="172">
          <cell r="S172">
            <v>0</v>
          </cell>
        </row>
        <row r="173">
          <cell r="A173" t="str">
            <v>21505</v>
          </cell>
          <cell r="B173" t="str">
            <v>      工业和信息产业监管</v>
          </cell>
        </row>
        <row r="173">
          <cell r="D173">
            <v>2</v>
          </cell>
        </row>
        <row r="173">
          <cell r="F173">
            <v>0</v>
          </cell>
          <cell r="G173">
            <v>2</v>
          </cell>
        </row>
        <row r="173">
          <cell r="Q173">
            <v>2</v>
          </cell>
        </row>
        <row r="173">
          <cell r="S173">
            <v>2</v>
          </cell>
        </row>
        <row r="174">
          <cell r="A174" t="str">
            <v>21507</v>
          </cell>
          <cell r="B174" t="str">
            <v>      国有资产监管</v>
          </cell>
        </row>
        <row r="174">
          <cell r="D174">
            <v>0</v>
          </cell>
        </row>
        <row r="174">
          <cell r="F174">
            <v>0</v>
          </cell>
        </row>
        <row r="174">
          <cell r="Q174">
            <v>0</v>
          </cell>
        </row>
        <row r="174">
          <cell r="S174">
            <v>0</v>
          </cell>
        </row>
        <row r="175">
          <cell r="A175" t="str">
            <v>21508</v>
          </cell>
          <cell r="B175" t="str">
            <v>      支持中小企业发展和管理支出</v>
          </cell>
        </row>
        <row r="175">
          <cell r="D175">
            <v>0</v>
          </cell>
        </row>
        <row r="175">
          <cell r="Q175">
            <v>0</v>
          </cell>
        </row>
        <row r="175">
          <cell r="S175">
            <v>0</v>
          </cell>
        </row>
        <row r="176">
          <cell r="A176" t="str">
            <v>21599</v>
          </cell>
          <cell r="B176" t="str">
            <v>      其他资源勘探信息等支出</v>
          </cell>
          <cell r="C176">
            <v>600</v>
          </cell>
          <cell r="D176">
            <v>0</v>
          </cell>
        </row>
        <row r="176">
          <cell r="F176">
            <v>0</v>
          </cell>
        </row>
        <row r="176">
          <cell r="Q176">
            <v>600</v>
          </cell>
          <cell r="R176">
            <v>600</v>
          </cell>
          <cell r="S176">
            <v>0</v>
          </cell>
        </row>
        <row r="177">
          <cell r="A177" t="str">
            <v>216</v>
          </cell>
          <cell r="B177" t="str">
            <v>十五、商业服务业等支出</v>
          </cell>
          <cell r="C177">
            <v>107</v>
          </cell>
          <cell r="D177">
            <v>166</v>
          </cell>
          <cell r="E177">
            <v>125</v>
          </cell>
          <cell r="F177">
            <v>38</v>
          </cell>
          <cell r="G177">
            <v>0</v>
          </cell>
          <cell r="H177">
            <v>0</v>
          </cell>
          <cell r="I177">
            <v>3</v>
          </cell>
          <cell r="J177">
            <v>0</v>
          </cell>
          <cell r="K177">
            <v>0</v>
          </cell>
          <cell r="L177">
            <v>0</v>
          </cell>
          <cell r="M177">
            <v>0</v>
          </cell>
          <cell r="N177">
            <v>0</v>
          </cell>
          <cell r="O177">
            <v>0</v>
          </cell>
          <cell r="P177">
            <v>0</v>
          </cell>
          <cell r="Q177">
            <v>273</v>
          </cell>
          <cell r="R177">
            <v>128</v>
          </cell>
          <cell r="S177">
            <v>145</v>
          </cell>
        </row>
        <row r="178">
          <cell r="A178" t="str">
            <v>21602</v>
          </cell>
          <cell r="B178" t="str">
            <v>      商业流通事务</v>
          </cell>
          <cell r="C178">
            <v>107</v>
          </cell>
          <cell r="D178">
            <v>166</v>
          </cell>
          <cell r="E178">
            <v>125</v>
          </cell>
          <cell r="F178">
            <v>38</v>
          </cell>
          <cell r="G178">
            <v>0</v>
          </cell>
          <cell r="H178">
            <v>0</v>
          </cell>
          <cell r="I178">
            <v>3</v>
          </cell>
        </row>
        <row r="178">
          <cell r="Q178">
            <v>273</v>
          </cell>
          <cell r="R178">
            <v>128</v>
          </cell>
          <cell r="S178">
            <v>145</v>
          </cell>
        </row>
        <row r="179">
          <cell r="A179" t="str">
            <v>21606</v>
          </cell>
          <cell r="B179" t="str">
            <v>      涉外发展服务支出</v>
          </cell>
          <cell r="C179">
            <v>0</v>
          </cell>
          <cell r="D179">
            <v>0</v>
          </cell>
          <cell r="E179">
            <v>0</v>
          </cell>
          <cell r="F179">
            <v>0</v>
          </cell>
          <cell r="G179">
            <v>0</v>
          </cell>
          <cell r="H179">
            <v>0</v>
          </cell>
        </row>
        <row r="179">
          <cell r="Q179">
            <v>0</v>
          </cell>
          <cell r="R179">
            <v>0</v>
          </cell>
          <cell r="S179">
            <v>0</v>
          </cell>
        </row>
        <row r="180">
          <cell r="A180" t="str">
            <v>21699</v>
          </cell>
          <cell r="B180" t="str">
            <v>      其他商业服务业等支出</v>
          </cell>
          <cell r="C180">
            <v>0</v>
          </cell>
          <cell r="D180">
            <v>0</v>
          </cell>
        </row>
        <row r="180">
          <cell r="F180">
            <v>0</v>
          </cell>
          <cell r="G180">
            <v>0</v>
          </cell>
          <cell r="H180">
            <v>0</v>
          </cell>
        </row>
        <row r="180">
          <cell r="Q180">
            <v>0</v>
          </cell>
          <cell r="R180">
            <v>0</v>
          </cell>
          <cell r="S180">
            <v>0</v>
          </cell>
        </row>
        <row r="181">
          <cell r="A181" t="str">
            <v>217</v>
          </cell>
          <cell r="B181" t="str">
            <v>十六、金融支出</v>
          </cell>
          <cell r="C181">
            <v>0</v>
          </cell>
          <cell r="D181">
            <v>323</v>
          </cell>
          <cell r="E181">
            <v>296</v>
          </cell>
          <cell r="F181">
            <v>0</v>
          </cell>
          <cell r="G181">
            <v>0</v>
          </cell>
          <cell r="H181">
            <v>0</v>
          </cell>
          <cell r="I181">
            <v>0</v>
          </cell>
          <cell r="J181">
            <v>-451</v>
          </cell>
          <cell r="K181">
            <v>0</v>
          </cell>
          <cell r="L181">
            <v>0</v>
          </cell>
          <cell r="M181">
            <v>0</v>
          </cell>
          <cell r="N181">
            <v>0</v>
          </cell>
          <cell r="O181">
            <v>0</v>
          </cell>
          <cell r="P181">
            <v>478</v>
          </cell>
          <cell r="Q181">
            <v>323</v>
          </cell>
          <cell r="R181">
            <v>37</v>
          </cell>
          <cell r="S181">
            <v>286</v>
          </cell>
        </row>
        <row r="182">
          <cell r="A182" t="str">
            <v>21701</v>
          </cell>
          <cell r="B182" t="str">
            <v>      金融部门行政支出</v>
          </cell>
          <cell r="C182">
            <v>0</v>
          </cell>
          <cell r="D182">
            <v>19</v>
          </cell>
          <cell r="E182">
            <v>0</v>
          </cell>
        </row>
        <row r="182">
          <cell r="G182">
            <v>0</v>
          </cell>
          <cell r="H182">
            <v>0</v>
          </cell>
        </row>
        <row r="182">
          <cell r="J182">
            <v>19</v>
          </cell>
        </row>
        <row r="182">
          <cell r="Q182">
            <v>19</v>
          </cell>
          <cell r="R182">
            <v>19</v>
          </cell>
          <cell r="S182">
            <v>0</v>
          </cell>
        </row>
        <row r="183">
          <cell r="A183" t="str">
            <v>21702</v>
          </cell>
          <cell r="B183" t="str">
            <v>      金融部门监管支出</v>
          </cell>
        </row>
        <row r="183">
          <cell r="D183">
            <v>0</v>
          </cell>
        </row>
        <row r="183">
          <cell r="F183">
            <v>0</v>
          </cell>
        </row>
        <row r="183">
          <cell r="Q183">
            <v>0</v>
          </cell>
        </row>
        <row r="183">
          <cell r="S183">
            <v>0</v>
          </cell>
        </row>
        <row r="184">
          <cell r="A184" t="str">
            <v>21703</v>
          </cell>
          <cell r="B184" t="str">
            <v>      金融发展支出</v>
          </cell>
        </row>
        <row r="184">
          <cell r="D184">
            <v>304</v>
          </cell>
          <cell r="E184">
            <v>296</v>
          </cell>
        </row>
        <row r="184">
          <cell r="J184">
            <v>-470</v>
          </cell>
        </row>
        <row r="184">
          <cell r="O184">
            <v>0</v>
          </cell>
          <cell r="P184">
            <v>478</v>
          </cell>
          <cell r="Q184">
            <v>304</v>
          </cell>
          <cell r="R184">
            <v>18</v>
          </cell>
          <cell r="S184">
            <v>286</v>
          </cell>
        </row>
        <row r="185">
          <cell r="A185" t="str">
            <v>21704</v>
          </cell>
          <cell r="B185" t="str">
            <v>      金融调控支出</v>
          </cell>
        </row>
        <row r="185">
          <cell r="D185">
            <v>0</v>
          </cell>
        </row>
        <row r="185">
          <cell r="G185">
            <v>0</v>
          </cell>
        </row>
        <row r="185">
          <cell r="Q185">
            <v>0</v>
          </cell>
        </row>
        <row r="185">
          <cell r="S185">
            <v>0</v>
          </cell>
        </row>
        <row r="186">
          <cell r="A186" t="str">
            <v>21799</v>
          </cell>
          <cell r="B186" t="str">
            <v>      其他金融支出</v>
          </cell>
          <cell r="C186">
            <v>0</v>
          </cell>
          <cell r="D186">
            <v>0</v>
          </cell>
        </row>
        <row r="186">
          <cell r="G186">
            <v>0</v>
          </cell>
          <cell r="H186">
            <v>0</v>
          </cell>
        </row>
        <row r="186">
          <cell r="Q186">
            <v>0</v>
          </cell>
        </row>
        <row r="186">
          <cell r="S186">
            <v>0</v>
          </cell>
        </row>
        <row r="187">
          <cell r="A187" t="str">
            <v>219</v>
          </cell>
          <cell r="B187" t="str">
            <v>十七、援助其他地区支出</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row>
        <row r="188">
          <cell r="A188" t="str">
            <v>21901</v>
          </cell>
          <cell r="B188" t="str">
            <v>      一般公共服务</v>
          </cell>
          <cell r="C188">
            <v>0</v>
          </cell>
          <cell r="D188">
            <v>0</v>
          </cell>
          <cell r="E188">
            <v>0</v>
          </cell>
          <cell r="F188">
            <v>0</v>
          </cell>
          <cell r="G188">
            <v>0</v>
          </cell>
          <cell r="H188">
            <v>0</v>
          </cell>
        </row>
        <row r="188">
          <cell r="Q188">
            <v>0</v>
          </cell>
          <cell r="R188">
            <v>0</v>
          </cell>
          <cell r="S188">
            <v>0</v>
          </cell>
        </row>
        <row r="189">
          <cell r="A189" t="str">
            <v>21902</v>
          </cell>
          <cell r="B189" t="str">
            <v>      教育</v>
          </cell>
          <cell r="C189">
            <v>0</v>
          </cell>
          <cell r="D189">
            <v>0</v>
          </cell>
          <cell r="E189">
            <v>0</v>
          </cell>
          <cell r="F189">
            <v>0</v>
          </cell>
          <cell r="G189">
            <v>0</v>
          </cell>
          <cell r="H189">
            <v>0</v>
          </cell>
        </row>
        <row r="189">
          <cell r="Q189">
            <v>0</v>
          </cell>
          <cell r="R189">
            <v>0</v>
          </cell>
          <cell r="S189">
            <v>0</v>
          </cell>
        </row>
        <row r="190">
          <cell r="A190" t="str">
            <v>21903</v>
          </cell>
          <cell r="B190" t="str">
            <v>      文化体育与传媒</v>
          </cell>
          <cell r="C190">
            <v>0</v>
          </cell>
          <cell r="D190">
            <v>0</v>
          </cell>
          <cell r="E190">
            <v>0</v>
          </cell>
          <cell r="F190">
            <v>0</v>
          </cell>
          <cell r="G190">
            <v>0</v>
          </cell>
          <cell r="H190">
            <v>0</v>
          </cell>
        </row>
        <row r="190">
          <cell r="Q190">
            <v>0</v>
          </cell>
          <cell r="R190">
            <v>0</v>
          </cell>
          <cell r="S190">
            <v>0</v>
          </cell>
        </row>
        <row r="191">
          <cell r="A191" t="str">
            <v>21904</v>
          </cell>
          <cell r="B191" t="str">
            <v>      医疗卫生</v>
          </cell>
          <cell r="C191">
            <v>0</v>
          </cell>
          <cell r="D191">
            <v>0</v>
          </cell>
          <cell r="E191">
            <v>0</v>
          </cell>
          <cell r="F191">
            <v>0</v>
          </cell>
          <cell r="G191">
            <v>0</v>
          </cell>
          <cell r="H191">
            <v>0</v>
          </cell>
        </row>
        <row r="191">
          <cell r="Q191">
            <v>0</v>
          </cell>
          <cell r="R191">
            <v>0</v>
          </cell>
          <cell r="S191">
            <v>0</v>
          </cell>
        </row>
        <row r="192">
          <cell r="A192" t="str">
            <v>21905</v>
          </cell>
          <cell r="B192" t="str">
            <v>      节能环保</v>
          </cell>
          <cell r="C192">
            <v>0</v>
          </cell>
          <cell r="D192">
            <v>0</v>
          </cell>
          <cell r="E192">
            <v>0</v>
          </cell>
          <cell r="F192">
            <v>0</v>
          </cell>
          <cell r="G192">
            <v>0</v>
          </cell>
          <cell r="H192">
            <v>0</v>
          </cell>
        </row>
        <row r="192">
          <cell r="Q192">
            <v>0</v>
          </cell>
          <cell r="R192">
            <v>0</v>
          </cell>
          <cell r="S192">
            <v>0</v>
          </cell>
        </row>
        <row r="193">
          <cell r="A193" t="str">
            <v>21906</v>
          </cell>
          <cell r="B193" t="str">
            <v>      农业</v>
          </cell>
          <cell r="C193">
            <v>0</v>
          </cell>
          <cell r="D193">
            <v>0</v>
          </cell>
          <cell r="E193">
            <v>0</v>
          </cell>
          <cell r="F193">
            <v>0</v>
          </cell>
          <cell r="G193">
            <v>0</v>
          </cell>
          <cell r="H193">
            <v>0</v>
          </cell>
        </row>
        <row r="193">
          <cell r="Q193">
            <v>0</v>
          </cell>
          <cell r="R193">
            <v>0</v>
          </cell>
          <cell r="S193">
            <v>0</v>
          </cell>
        </row>
        <row r="194">
          <cell r="A194" t="str">
            <v>21907</v>
          </cell>
          <cell r="B194" t="str">
            <v>      交通运输</v>
          </cell>
          <cell r="C194">
            <v>0</v>
          </cell>
          <cell r="D194">
            <v>0</v>
          </cell>
          <cell r="E194">
            <v>0</v>
          </cell>
          <cell r="F194">
            <v>0</v>
          </cell>
          <cell r="G194">
            <v>0</v>
          </cell>
          <cell r="H194">
            <v>0</v>
          </cell>
        </row>
        <row r="194">
          <cell r="Q194">
            <v>0</v>
          </cell>
          <cell r="R194">
            <v>0</v>
          </cell>
          <cell r="S194">
            <v>0</v>
          </cell>
        </row>
        <row r="195">
          <cell r="A195" t="str">
            <v>21908</v>
          </cell>
          <cell r="B195" t="str">
            <v>      住房保障</v>
          </cell>
          <cell r="C195">
            <v>0</v>
          </cell>
          <cell r="D195">
            <v>0</v>
          </cell>
          <cell r="E195">
            <v>0</v>
          </cell>
          <cell r="F195">
            <v>0</v>
          </cell>
          <cell r="G195">
            <v>0</v>
          </cell>
          <cell r="H195">
            <v>0</v>
          </cell>
        </row>
        <row r="195">
          <cell r="Q195">
            <v>0</v>
          </cell>
          <cell r="R195">
            <v>0</v>
          </cell>
          <cell r="S195">
            <v>0</v>
          </cell>
        </row>
        <row r="196">
          <cell r="A196" t="str">
            <v>21999</v>
          </cell>
          <cell r="B196" t="str">
            <v>      其他支出</v>
          </cell>
          <cell r="C196">
            <v>0</v>
          </cell>
          <cell r="D196">
            <v>0</v>
          </cell>
          <cell r="E196">
            <v>0</v>
          </cell>
          <cell r="F196">
            <v>0</v>
          </cell>
          <cell r="G196">
            <v>0</v>
          </cell>
          <cell r="H196">
            <v>0</v>
          </cell>
        </row>
        <row r="196">
          <cell r="Q196">
            <v>0</v>
          </cell>
          <cell r="R196">
            <v>0</v>
          </cell>
          <cell r="S196">
            <v>0</v>
          </cell>
        </row>
        <row r="197">
          <cell r="A197" t="str">
            <v>220</v>
          </cell>
          <cell r="B197" t="str">
            <v>十八、自然资源海洋气象等支出</v>
          </cell>
          <cell r="C197">
            <v>974</v>
          </cell>
          <cell r="D197">
            <v>287</v>
          </cell>
          <cell r="E197">
            <v>159</v>
          </cell>
          <cell r="F197">
            <v>0</v>
          </cell>
          <cell r="G197">
            <v>41</v>
          </cell>
          <cell r="H197">
            <v>0</v>
          </cell>
          <cell r="I197">
            <v>573</v>
          </cell>
          <cell r="J197">
            <v>-511</v>
          </cell>
          <cell r="K197">
            <v>0</v>
          </cell>
          <cell r="L197">
            <v>0</v>
          </cell>
          <cell r="M197">
            <v>0</v>
          </cell>
          <cell r="N197">
            <v>0</v>
          </cell>
          <cell r="O197">
            <v>-14</v>
          </cell>
          <cell r="P197">
            <v>39</v>
          </cell>
          <cell r="Q197">
            <v>1261</v>
          </cell>
          <cell r="R197">
            <v>1098</v>
          </cell>
          <cell r="S197">
            <v>163</v>
          </cell>
        </row>
        <row r="198">
          <cell r="A198" t="str">
            <v>22001</v>
          </cell>
          <cell r="B198" t="str">
            <v>      自然资源事务</v>
          </cell>
          <cell r="C198">
            <v>888</v>
          </cell>
          <cell r="D198">
            <v>308</v>
          </cell>
          <cell r="E198">
            <v>159</v>
          </cell>
        </row>
        <row r="198">
          <cell r="G198">
            <v>41</v>
          </cell>
        </row>
        <row r="198">
          <cell r="I198">
            <v>573</v>
          </cell>
          <cell r="J198">
            <v>-490</v>
          </cell>
        </row>
        <row r="198">
          <cell r="O198">
            <v>-14</v>
          </cell>
          <cell r="P198">
            <v>39</v>
          </cell>
          <cell r="Q198">
            <v>1196</v>
          </cell>
          <cell r="R198">
            <v>1033</v>
          </cell>
          <cell r="S198">
            <v>163</v>
          </cell>
        </row>
        <row r="199">
          <cell r="A199" t="str">
            <v>22002</v>
          </cell>
          <cell r="B199" t="str">
            <v>      气象事务</v>
          </cell>
          <cell r="C199">
            <v>86</v>
          </cell>
          <cell r="D199">
            <v>-21</v>
          </cell>
        </row>
        <row r="199">
          <cell r="J199">
            <v>-21</v>
          </cell>
        </row>
        <row r="199">
          <cell r="Q199">
            <v>65</v>
          </cell>
          <cell r="R199">
            <v>65</v>
          </cell>
          <cell r="S199">
            <v>0</v>
          </cell>
        </row>
        <row r="200">
          <cell r="A200" t="str">
            <v>22099</v>
          </cell>
          <cell r="B200" t="str">
            <v>      其他自然资源海洋气象等支出</v>
          </cell>
        </row>
        <row r="200">
          <cell r="D200">
            <v>0</v>
          </cell>
        </row>
        <row r="200">
          <cell r="Q200">
            <v>0</v>
          </cell>
        </row>
        <row r="200">
          <cell r="S200">
            <v>0</v>
          </cell>
        </row>
        <row r="201">
          <cell r="A201" t="str">
            <v>221</v>
          </cell>
          <cell r="B201" t="str">
            <v>十九、住房保障支出</v>
          </cell>
          <cell r="C201">
            <v>4831</v>
          </cell>
          <cell r="D201">
            <v>3964</v>
          </cell>
          <cell r="E201">
            <v>360</v>
          </cell>
          <cell r="F201">
            <v>3895</v>
          </cell>
          <cell r="G201">
            <v>0</v>
          </cell>
          <cell r="H201">
            <v>0</v>
          </cell>
          <cell r="I201">
            <v>0</v>
          </cell>
          <cell r="J201">
            <v>0</v>
          </cell>
          <cell r="K201">
            <v>0</v>
          </cell>
          <cell r="L201">
            <v>0</v>
          </cell>
          <cell r="M201">
            <v>19</v>
          </cell>
          <cell r="N201">
            <v>0</v>
          </cell>
          <cell r="O201">
            <v>-252</v>
          </cell>
          <cell r="P201">
            <v>-58</v>
          </cell>
          <cell r="Q201">
            <v>8795</v>
          </cell>
          <cell r="R201">
            <v>8436</v>
          </cell>
          <cell r="S201">
            <v>359</v>
          </cell>
        </row>
        <row r="202">
          <cell r="A202" t="str">
            <v>22101</v>
          </cell>
          <cell r="B202" t="str">
            <v>      保障性安居工程支出</v>
          </cell>
          <cell r="C202">
            <v>920</v>
          </cell>
          <cell r="D202">
            <v>229</v>
          </cell>
          <cell r="E202">
            <v>360</v>
          </cell>
          <cell r="F202">
            <v>160</v>
          </cell>
        </row>
        <row r="202">
          <cell r="J202">
            <v>-252</v>
          </cell>
        </row>
        <row r="202">
          <cell r="M202">
            <v>19</v>
          </cell>
        </row>
        <row r="202">
          <cell r="P202">
            <v>-58</v>
          </cell>
          <cell r="Q202">
            <v>1149</v>
          </cell>
          <cell r="R202">
            <v>790</v>
          </cell>
          <cell r="S202">
            <v>359</v>
          </cell>
        </row>
        <row r="203">
          <cell r="A203" t="str">
            <v>22102</v>
          </cell>
          <cell r="B203" t="str">
            <v>      住房改革支出</v>
          </cell>
          <cell r="C203">
            <v>3911</v>
          </cell>
          <cell r="D203">
            <v>3735</v>
          </cell>
        </row>
        <row r="203">
          <cell r="F203">
            <v>3735</v>
          </cell>
        </row>
        <row r="203">
          <cell r="J203">
            <v>252</v>
          </cell>
        </row>
        <row r="203">
          <cell r="O203">
            <v>-252</v>
          </cell>
        </row>
        <row r="203">
          <cell r="Q203">
            <v>7646</v>
          </cell>
          <cell r="R203">
            <v>7646</v>
          </cell>
          <cell r="S203">
            <v>0</v>
          </cell>
        </row>
        <row r="204">
          <cell r="A204" t="str">
            <v>22103</v>
          </cell>
          <cell r="B204" t="str">
            <v>      城乡社区住宅</v>
          </cell>
        </row>
        <row r="204">
          <cell r="D204">
            <v>0</v>
          </cell>
        </row>
        <row r="204">
          <cell r="Q204">
            <v>0</v>
          </cell>
        </row>
        <row r="204">
          <cell r="S204">
            <v>0</v>
          </cell>
        </row>
        <row r="205">
          <cell r="A205" t="str">
            <v>222</v>
          </cell>
          <cell r="B205" t="str">
            <v>二十、粮油物资储备支出</v>
          </cell>
          <cell r="C205">
            <v>97</v>
          </cell>
          <cell r="D205">
            <v>15</v>
          </cell>
          <cell r="E205">
            <v>0</v>
          </cell>
          <cell r="F205">
            <v>0</v>
          </cell>
          <cell r="G205">
            <v>0</v>
          </cell>
          <cell r="H205">
            <v>0</v>
          </cell>
          <cell r="I205">
            <v>0</v>
          </cell>
          <cell r="J205">
            <v>-81</v>
          </cell>
          <cell r="K205">
            <v>0</v>
          </cell>
          <cell r="L205">
            <v>96</v>
          </cell>
          <cell r="M205">
            <v>0</v>
          </cell>
          <cell r="N205">
            <v>0</v>
          </cell>
          <cell r="O205">
            <v>0</v>
          </cell>
          <cell r="P205">
            <v>0</v>
          </cell>
          <cell r="Q205">
            <v>112</v>
          </cell>
          <cell r="R205">
            <v>112</v>
          </cell>
          <cell r="S205">
            <v>0</v>
          </cell>
        </row>
        <row r="206">
          <cell r="A206" t="str">
            <v>22201</v>
          </cell>
          <cell r="B206" t="str">
            <v>      粮油物资事务</v>
          </cell>
          <cell r="C206">
            <v>97</v>
          </cell>
          <cell r="D206">
            <v>15</v>
          </cell>
        </row>
        <row r="206">
          <cell r="G206">
            <v>0</v>
          </cell>
        </row>
        <row r="206">
          <cell r="J206">
            <v>-81</v>
          </cell>
        </row>
        <row r="206">
          <cell r="L206">
            <v>96</v>
          </cell>
        </row>
        <row r="206">
          <cell r="P206">
            <v>0</v>
          </cell>
          <cell r="Q206">
            <v>112</v>
          </cell>
          <cell r="R206">
            <v>112</v>
          </cell>
          <cell r="S206">
            <v>0</v>
          </cell>
        </row>
        <row r="207">
          <cell r="A207" t="str">
            <v>22203</v>
          </cell>
          <cell r="B207" t="str">
            <v>      能源储备</v>
          </cell>
        </row>
        <row r="207">
          <cell r="D207">
            <v>0</v>
          </cell>
          <cell r="E207">
            <v>0</v>
          </cell>
          <cell r="F207">
            <v>0</v>
          </cell>
          <cell r="G207">
            <v>0</v>
          </cell>
          <cell r="H207">
            <v>0</v>
          </cell>
        </row>
        <row r="207">
          <cell r="P207">
            <v>0</v>
          </cell>
          <cell r="Q207">
            <v>0</v>
          </cell>
        </row>
        <row r="207">
          <cell r="S207">
            <v>0</v>
          </cell>
        </row>
        <row r="208">
          <cell r="A208" t="str">
            <v>22204</v>
          </cell>
          <cell r="B208" t="str">
            <v>      粮油储备</v>
          </cell>
        </row>
        <row r="208">
          <cell r="D208">
            <v>0</v>
          </cell>
          <cell r="E208">
            <v>0</v>
          </cell>
          <cell r="F208">
            <v>0</v>
          </cell>
          <cell r="G208">
            <v>0</v>
          </cell>
        </row>
        <row r="208">
          <cell r="P208">
            <v>0</v>
          </cell>
          <cell r="Q208">
            <v>0</v>
          </cell>
        </row>
        <row r="208">
          <cell r="S208">
            <v>0</v>
          </cell>
        </row>
        <row r="209">
          <cell r="A209" t="str">
            <v>22205</v>
          </cell>
          <cell r="B209" t="str">
            <v>      重要商品储备</v>
          </cell>
        </row>
        <row r="209">
          <cell r="D209">
            <v>0</v>
          </cell>
          <cell r="E209">
            <v>0</v>
          </cell>
          <cell r="F209">
            <v>0</v>
          </cell>
          <cell r="G209">
            <v>0</v>
          </cell>
        </row>
        <row r="209">
          <cell r="P209">
            <v>0</v>
          </cell>
          <cell r="Q209">
            <v>0</v>
          </cell>
          <cell r="R209">
            <v>0</v>
          </cell>
          <cell r="S209">
            <v>0</v>
          </cell>
        </row>
        <row r="210">
          <cell r="A210" t="str">
            <v>224</v>
          </cell>
          <cell r="B210" t="str">
            <v>二十一、灾害防治及应急管理支出</v>
          </cell>
          <cell r="C210">
            <v>3285</v>
          </cell>
          <cell r="D210">
            <v>302</v>
          </cell>
          <cell r="E210">
            <v>1380</v>
          </cell>
          <cell r="F210">
            <v>0</v>
          </cell>
          <cell r="G210">
            <v>0</v>
          </cell>
          <cell r="H210">
            <v>0</v>
          </cell>
          <cell r="I210">
            <v>63</v>
          </cell>
          <cell r="J210">
            <v>-1141</v>
          </cell>
          <cell r="K210">
            <v>0</v>
          </cell>
          <cell r="L210">
            <v>0</v>
          </cell>
          <cell r="M210">
            <v>916</v>
          </cell>
          <cell r="N210">
            <v>0</v>
          </cell>
          <cell r="O210">
            <v>0</v>
          </cell>
          <cell r="P210">
            <v>-916</v>
          </cell>
          <cell r="Q210">
            <v>3587</v>
          </cell>
          <cell r="R210">
            <v>2480</v>
          </cell>
          <cell r="S210">
            <v>1107</v>
          </cell>
        </row>
        <row r="211">
          <cell r="A211" t="str">
            <v>22401</v>
          </cell>
          <cell r="B211" t="str">
            <v>      应急管理事务</v>
          </cell>
          <cell r="C211">
            <v>467</v>
          </cell>
          <cell r="D211">
            <v>32</v>
          </cell>
          <cell r="E211">
            <v>25</v>
          </cell>
        </row>
        <row r="211">
          <cell r="I211">
            <v>43</v>
          </cell>
          <cell r="J211">
            <v>-36</v>
          </cell>
        </row>
        <row r="211">
          <cell r="Q211">
            <v>499</v>
          </cell>
          <cell r="R211">
            <v>474</v>
          </cell>
          <cell r="S211">
            <v>25</v>
          </cell>
        </row>
        <row r="212">
          <cell r="A212" t="str">
            <v>22402</v>
          </cell>
          <cell r="B212" t="str">
            <v>      消防救援事务</v>
          </cell>
          <cell r="C212">
            <v>908</v>
          </cell>
          <cell r="D212">
            <v>53</v>
          </cell>
        </row>
        <row r="212">
          <cell r="I212">
            <v>20</v>
          </cell>
          <cell r="J212">
            <v>33</v>
          </cell>
        </row>
        <row r="212">
          <cell r="Q212">
            <v>961</v>
          </cell>
          <cell r="R212">
            <v>961</v>
          </cell>
          <cell r="S212">
            <v>0</v>
          </cell>
        </row>
        <row r="213">
          <cell r="A213" t="str">
            <v>22404</v>
          </cell>
          <cell r="B213" t="str">
            <v>      煤矿安全</v>
          </cell>
          <cell r="C213">
            <v>0</v>
          </cell>
          <cell r="D213">
            <v>0</v>
          </cell>
        </row>
        <row r="213">
          <cell r="F213">
            <v>0</v>
          </cell>
        </row>
        <row r="213">
          <cell r="Q213">
            <v>0</v>
          </cell>
        </row>
        <row r="213">
          <cell r="S213">
            <v>0</v>
          </cell>
        </row>
        <row r="214">
          <cell r="A214" t="str">
            <v>22405</v>
          </cell>
          <cell r="B214" t="str">
            <v>      地震事务</v>
          </cell>
          <cell r="C214">
            <v>0</v>
          </cell>
          <cell r="D214">
            <v>0</v>
          </cell>
        </row>
        <row r="214">
          <cell r="F214">
            <v>0</v>
          </cell>
        </row>
        <row r="214">
          <cell r="Q214">
            <v>0</v>
          </cell>
        </row>
        <row r="214">
          <cell r="S214">
            <v>0</v>
          </cell>
        </row>
        <row r="215">
          <cell r="A215" t="str">
            <v>22406</v>
          </cell>
          <cell r="B215" t="str">
            <v>      自然灾害防治</v>
          </cell>
          <cell r="C215">
            <v>1317</v>
          </cell>
          <cell r="D215">
            <v>7</v>
          </cell>
          <cell r="E215">
            <v>1355</v>
          </cell>
        </row>
        <row r="215">
          <cell r="J215">
            <v>-1333</v>
          </cell>
        </row>
        <row r="215">
          <cell r="M215">
            <v>916</v>
          </cell>
        </row>
        <row r="215">
          <cell r="O215">
            <v>0</v>
          </cell>
          <cell r="P215">
            <v>-931</v>
          </cell>
          <cell r="Q215">
            <v>1324</v>
          </cell>
          <cell r="R215">
            <v>256</v>
          </cell>
          <cell r="S215">
            <v>1068</v>
          </cell>
        </row>
        <row r="216">
          <cell r="A216" t="str">
            <v>22407</v>
          </cell>
          <cell r="B216" t="str">
            <v>      自然灾害救灾及恢复重建支出</v>
          </cell>
          <cell r="C216">
            <v>84</v>
          </cell>
          <cell r="D216">
            <v>90</v>
          </cell>
        </row>
        <row r="216">
          <cell r="J216">
            <v>75</v>
          </cell>
        </row>
        <row r="216">
          <cell r="O216">
            <v>0</v>
          </cell>
          <cell r="P216">
            <v>15</v>
          </cell>
          <cell r="Q216">
            <v>174</v>
          </cell>
          <cell r="R216">
            <v>160</v>
          </cell>
          <cell r="S216">
            <v>14</v>
          </cell>
        </row>
        <row r="217">
          <cell r="A217" t="str">
            <v>22499</v>
          </cell>
          <cell r="B217" t="str">
            <v>      其他灾害防治及应急管理支出</v>
          </cell>
          <cell r="C217">
            <v>509</v>
          </cell>
          <cell r="D217">
            <v>120</v>
          </cell>
        </row>
        <row r="217">
          <cell r="J217">
            <v>120</v>
          </cell>
        </row>
        <row r="217">
          <cell r="Q217">
            <v>629</v>
          </cell>
          <cell r="R217">
            <v>629</v>
          </cell>
          <cell r="S217">
            <v>0</v>
          </cell>
        </row>
        <row r="218">
          <cell r="A218" t="str">
            <v>227</v>
          </cell>
          <cell r="B218" t="str">
            <v>二十二、预备费</v>
          </cell>
          <cell r="C218">
            <v>4623</v>
          </cell>
          <cell r="D218">
            <v>-4623</v>
          </cell>
          <cell r="E218">
            <v>0</v>
          </cell>
          <cell r="F218">
            <v>0</v>
          </cell>
          <cell r="G218">
            <v>0</v>
          </cell>
        </row>
        <row r="218">
          <cell r="I218">
            <v>-4623</v>
          </cell>
        </row>
        <row r="218">
          <cell r="K218">
            <v>0</v>
          </cell>
          <cell r="L218">
            <v>0</v>
          </cell>
        </row>
        <row r="218">
          <cell r="N218">
            <v>0</v>
          </cell>
          <cell r="O218">
            <v>0</v>
          </cell>
          <cell r="P218">
            <v>0</v>
          </cell>
          <cell r="Q218">
            <v>0</v>
          </cell>
        </row>
        <row r="218">
          <cell r="S218">
            <v>0</v>
          </cell>
        </row>
        <row r="219">
          <cell r="A219" t="str">
            <v>229</v>
          </cell>
          <cell r="B219" t="str">
            <v>二十三、其他支出</v>
          </cell>
          <cell r="C219">
            <v>686</v>
          </cell>
          <cell r="D219">
            <v>-656</v>
          </cell>
          <cell r="E219">
            <v>0</v>
          </cell>
          <cell r="F219">
            <v>0</v>
          </cell>
          <cell r="G219">
            <v>0</v>
          </cell>
          <cell r="H219">
            <v>0</v>
          </cell>
          <cell r="I219">
            <v>0</v>
          </cell>
          <cell r="J219">
            <v>-656</v>
          </cell>
          <cell r="K219">
            <v>0</v>
          </cell>
          <cell r="L219">
            <v>0</v>
          </cell>
        </row>
        <row r="219">
          <cell r="N219">
            <v>0</v>
          </cell>
          <cell r="O219">
            <v>0</v>
          </cell>
          <cell r="P219">
            <v>0</v>
          </cell>
          <cell r="Q219">
            <v>30</v>
          </cell>
          <cell r="R219">
            <v>30</v>
          </cell>
          <cell r="S219">
            <v>0</v>
          </cell>
        </row>
        <row r="220">
          <cell r="A220" t="str">
            <v>22902</v>
          </cell>
          <cell r="B220" t="str">
            <v>        年初预留</v>
          </cell>
          <cell r="C220">
            <v>686</v>
          </cell>
          <cell r="D220">
            <v>-686</v>
          </cell>
          <cell r="E220">
            <v>0</v>
          </cell>
        </row>
        <row r="220">
          <cell r="G220">
            <v>0</v>
          </cell>
          <cell r="H220">
            <v>0</v>
          </cell>
        </row>
        <row r="220">
          <cell r="J220">
            <v>-686</v>
          </cell>
        </row>
        <row r="220">
          <cell r="P220">
            <v>0</v>
          </cell>
          <cell r="Q220">
            <v>0</v>
          </cell>
        </row>
        <row r="220">
          <cell r="S220">
            <v>0</v>
          </cell>
        </row>
        <row r="221">
          <cell r="A221" t="str">
            <v>22999</v>
          </cell>
          <cell r="B221" t="str">
            <v>        其他支出</v>
          </cell>
        </row>
        <row r="221">
          <cell r="D221">
            <v>30</v>
          </cell>
          <cell r="E221">
            <v>0</v>
          </cell>
        </row>
        <row r="221">
          <cell r="J221">
            <v>30</v>
          </cell>
        </row>
        <row r="221">
          <cell r="Q221">
            <v>30</v>
          </cell>
          <cell r="R221">
            <v>30</v>
          </cell>
          <cell r="S221">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opLeftCell="A14" workbookViewId="0">
      <selection activeCell="G5" sqref="G5"/>
    </sheetView>
  </sheetViews>
  <sheetFormatPr defaultColWidth="9" defaultRowHeight="15" outlineLevelCol="6"/>
  <cols>
    <col min="1" max="16384" width="9" style="636"/>
  </cols>
  <sheetData>
    <row r="1" s="636" customFormat="1" ht="25.5" customHeight="1" spans="1:7">
      <c r="A1" s="637" t="s">
        <v>0</v>
      </c>
      <c r="B1" s="637"/>
      <c r="C1" s="637"/>
      <c r="D1" s="637"/>
      <c r="E1" s="637"/>
      <c r="F1" s="642"/>
      <c r="G1" s="642"/>
    </row>
    <row r="2" s="636" customFormat="1" ht="25.5" customHeight="1" spans="1:1">
      <c r="A2" s="643" t="s">
        <v>1</v>
      </c>
    </row>
    <row r="3" s="636" customFormat="1" ht="25.5" customHeight="1" spans="2:5">
      <c r="B3" s="644" t="s">
        <v>2</v>
      </c>
      <c r="E3" s="641"/>
    </row>
    <row r="4" s="636" customFormat="1" ht="25.5" customHeight="1" spans="2:5">
      <c r="B4" s="644" t="s">
        <v>3</v>
      </c>
      <c r="E4" s="641"/>
    </row>
    <row r="5" s="636" customFormat="1" ht="25.5" customHeight="1" spans="2:5">
      <c r="B5" s="644" t="s">
        <v>4</v>
      </c>
      <c r="E5" s="641"/>
    </row>
    <row r="6" s="636" customFormat="1" ht="25.5" customHeight="1" spans="2:2">
      <c r="B6" s="644" t="s">
        <v>5</v>
      </c>
    </row>
    <row r="7" s="636" customFormat="1" ht="25.5" customHeight="1" spans="1:1">
      <c r="A7" s="640" t="s">
        <v>6</v>
      </c>
    </row>
    <row r="8" s="636" customFormat="1" ht="25.5" customHeight="1" spans="2:4">
      <c r="B8" s="644" t="s">
        <v>7</v>
      </c>
      <c r="D8" s="641"/>
    </row>
    <row r="9" s="636" customFormat="1" ht="25.5" customHeight="1" spans="2:4">
      <c r="B9" s="644" t="s">
        <v>8</v>
      </c>
      <c r="D9" s="641"/>
    </row>
    <row r="10" s="636" customFormat="1" ht="25.5" customHeight="1" spans="1:4">
      <c r="A10" s="640" t="s">
        <v>9</v>
      </c>
      <c r="D10" s="641"/>
    </row>
    <row r="11" s="636" customFormat="1" ht="25.5" customHeight="1" spans="2:2">
      <c r="B11" s="644" t="s">
        <v>10</v>
      </c>
    </row>
    <row r="12" s="636" customFormat="1" ht="25.5" customHeight="1" spans="1:1">
      <c r="A12" s="640" t="s">
        <v>11</v>
      </c>
    </row>
    <row r="13" s="636" customFormat="1" ht="25.5" customHeight="1" spans="2:2">
      <c r="B13" s="644" t="s">
        <v>12</v>
      </c>
    </row>
    <row r="14" s="636" customFormat="1" ht="25.5" customHeight="1" spans="1:1">
      <c r="A14" s="640" t="s">
        <v>13</v>
      </c>
    </row>
    <row r="15" s="636" customFormat="1" ht="25.5" customHeight="1" spans="2:2">
      <c r="B15" s="644" t="s">
        <v>14</v>
      </c>
    </row>
    <row r="16" s="636" customFormat="1" ht="25.5" customHeight="1" spans="1:1">
      <c r="A16" s="640" t="s">
        <v>15</v>
      </c>
    </row>
    <row r="17" s="636" customFormat="1" ht="28.5" customHeight="1" spans="2:2">
      <c r="B17" s="644" t="s">
        <v>16</v>
      </c>
    </row>
    <row r="18" s="636" customFormat="1" ht="25.5" customHeight="1" spans="1:1">
      <c r="A18" s="643" t="s">
        <v>17</v>
      </c>
    </row>
    <row r="19" s="636" customFormat="1" ht="28.5" customHeight="1" spans="2:5">
      <c r="B19" s="644" t="s">
        <v>18</v>
      </c>
      <c r="E19" s="641"/>
    </row>
    <row r="20" s="636" customFormat="1" ht="28.5" customHeight="1" spans="2:2">
      <c r="B20" s="644" t="s">
        <v>19</v>
      </c>
    </row>
    <row r="21" s="636" customFormat="1" ht="28.5" customHeight="1" spans="2:2">
      <c r="B21" s="644" t="s">
        <v>20</v>
      </c>
    </row>
    <row r="22" s="636" customFormat="1" ht="28.5" customHeight="1" spans="2:2">
      <c r="B22" s="644" t="s">
        <v>21</v>
      </c>
    </row>
    <row r="23" s="636" customFormat="1" ht="28.5" customHeight="1" spans="2:2">
      <c r="B23" s="644" t="s">
        <v>22</v>
      </c>
    </row>
    <row r="24" s="636" customFormat="1" ht="28.5" customHeight="1" spans="2:2">
      <c r="B24" s="639" t="s">
        <v>23</v>
      </c>
    </row>
    <row r="25" s="636" customFormat="1" ht="28.5" customHeight="1" spans="2:2">
      <c r="B25" s="639" t="s">
        <v>24</v>
      </c>
    </row>
    <row r="26" s="636" customFormat="1" ht="28.5" customHeight="1" spans="2:2">
      <c r="B26" s="639" t="s">
        <v>25</v>
      </c>
    </row>
    <row r="27" s="636" customFormat="1" ht="28.5" customHeight="1" spans="2:2">
      <c r="B27" s="639" t="s">
        <v>26</v>
      </c>
    </row>
    <row r="28" s="636" customFormat="1" ht="28.5" customHeight="1" spans="1:2">
      <c r="A28" s="638" t="s">
        <v>27</v>
      </c>
      <c r="B28" s="639"/>
    </row>
    <row r="29" s="636" customFormat="1" ht="28.5" customHeight="1" spans="2:2">
      <c r="B29" s="639" t="s">
        <v>28</v>
      </c>
    </row>
    <row r="30" s="636" customFormat="1" ht="25.5" customHeight="1" spans="1:1">
      <c r="A30" s="643" t="s">
        <v>29</v>
      </c>
    </row>
    <row r="31" s="636" customFormat="1" ht="28.5" customHeight="1" spans="2:2">
      <c r="B31" s="644" t="s">
        <v>30</v>
      </c>
    </row>
    <row r="32" s="636" customFormat="1" ht="28.5" customHeight="1" spans="2:2">
      <c r="B32" s="644" t="s">
        <v>31</v>
      </c>
    </row>
    <row r="33" s="636" customFormat="1" ht="28.5" customHeight="1" spans="2:2">
      <c r="B33" s="644" t="s">
        <v>32</v>
      </c>
    </row>
    <row r="34" s="636" customFormat="1" ht="28.5" customHeight="1" spans="2:2">
      <c r="B34" s="644" t="s">
        <v>33</v>
      </c>
    </row>
    <row r="35" s="636" customFormat="1" ht="28.5" customHeight="1" spans="2:2">
      <c r="B35" s="639" t="s">
        <v>34</v>
      </c>
    </row>
    <row r="36" s="636" customFormat="1" ht="28.5" customHeight="1" spans="2:2">
      <c r="B36" s="639" t="s">
        <v>35</v>
      </c>
    </row>
    <row r="37" s="636" customFormat="1" ht="28.5" customHeight="1" spans="2:2">
      <c r="B37" s="639" t="s">
        <v>36</v>
      </c>
    </row>
    <row r="38" s="636" customFormat="1" ht="25.5" customHeight="1" spans="1:1">
      <c r="A38" s="643" t="s">
        <v>37</v>
      </c>
    </row>
    <row r="39" s="636" customFormat="1" ht="28.5" customHeight="1" spans="2:2">
      <c r="B39" s="639" t="s">
        <v>38</v>
      </c>
    </row>
    <row r="40" s="636" customFormat="1" ht="25.5" customHeight="1" spans="1:1">
      <c r="A40" s="643" t="s">
        <v>39</v>
      </c>
    </row>
    <row r="41" s="636" customFormat="1" ht="28.5" customHeight="1" spans="2:2">
      <c r="B41" s="644" t="s">
        <v>40</v>
      </c>
    </row>
    <row r="42" s="636" customFormat="1" ht="28.5" customHeight="1" spans="2:2">
      <c r="B42" s="644" t="s">
        <v>41</v>
      </c>
    </row>
    <row r="43" s="636" customFormat="1" ht="28.5" customHeight="1" spans="2:2">
      <c r="B43" s="639" t="s">
        <v>42</v>
      </c>
    </row>
    <row r="44" s="636" customFormat="1" ht="25.5" customHeight="1" spans="1:1">
      <c r="A44" s="643" t="s">
        <v>43</v>
      </c>
    </row>
    <row r="45" s="636" customFormat="1" ht="28.5" customHeight="1" spans="2:2">
      <c r="B45" s="644" t="s">
        <v>44</v>
      </c>
    </row>
    <row r="46" s="636" customFormat="1" ht="28.5" customHeight="1" spans="2:2">
      <c r="B46" s="644" t="s">
        <v>45</v>
      </c>
    </row>
    <row r="47" s="636" customFormat="1" ht="28.5" customHeight="1" spans="2:2">
      <c r="B47" s="639" t="s">
        <v>46</v>
      </c>
    </row>
    <row r="48" s="636" customFormat="1" ht="28.5" customHeight="1" spans="2:2">
      <c r="B48" s="639" t="s">
        <v>47</v>
      </c>
    </row>
    <row r="49" s="636" customFormat="1" ht="25.5" customHeight="1" spans="1:1">
      <c r="A49" s="643" t="s">
        <v>48</v>
      </c>
    </row>
    <row r="50" s="636" customFormat="1" ht="28.5" customHeight="1" spans="2:2">
      <c r="B50" s="644" t="s">
        <v>49</v>
      </c>
    </row>
    <row r="51" s="636" customFormat="1" ht="28.5" customHeight="1" spans="2:2">
      <c r="B51" s="639"/>
    </row>
    <row r="52" s="636" customFormat="1" ht="28.5" customHeight="1" spans="2:2">
      <c r="B52" s="639"/>
    </row>
  </sheetData>
  <mergeCells count="1">
    <mergeCell ref="A1:E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workbookViewId="0">
      <selection activeCell="P15" sqref="P15"/>
    </sheetView>
  </sheetViews>
  <sheetFormatPr defaultColWidth="9" defaultRowHeight="15.75"/>
  <cols>
    <col min="1" max="1" width="7.125" style="406" customWidth="1"/>
    <col min="2" max="2" width="22.5" style="407" customWidth="1"/>
    <col min="3" max="3" width="7" style="408" customWidth="1"/>
    <col min="4" max="4" width="6.75" style="408" customWidth="1"/>
    <col min="5" max="5" width="6.625" style="408" customWidth="1"/>
    <col min="6" max="6" width="7.75" style="408" customWidth="1"/>
    <col min="7" max="14" width="9.375" style="408" customWidth="1"/>
    <col min="15" max="15" width="15.125" style="408" customWidth="1"/>
    <col min="16" max="16384" width="9" style="253"/>
  </cols>
  <sheetData>
    <row r="1" s="402" customFormat="1" ht="33.75" customHeight="1" spans="1:15">
      <c r="A1" s="677" t="s">
        <v>1396</v>
      </c>
      <c r="B1" s="409"/>
      <c r="C1" s="409"/>
      <c r="D1" s="409"/>
      <c r="E1" s="409"/>
      <c r="F1" s="409"/>
      <c r="G1" s="409"/>
      <c r="H1" s="409"/>
      <c r="I1" s="409"/>
      <c r="J1" s="409"/>
      <c r="K1" s="409"/>
      <c r="L1" s="409"/>
      <c r="M1" s="409"/>
      <c r="N1" s="409"/>
      <c r="O1" s="409"/>
    </row>
    <row r="2" s="253" customFormat="1" ht="29" customHeight="1" spans="1:15">
      <c r="A2" s="406"/>
      <c r="B2" s="410"/>
      <c r="C2" s="411"/>
      <c r="D2" s="411"/>
      <c r="E2" s="411"/>
      <c r="F2" s="411"/>
      <c r="G2" s="411"/>
      <c r="H2" s="411"/>
      <c r="I2" s="411"/>
      <c r="J2" s="411"/>
      <c r="K2" s="411"/>
      <c r="L2" s="411"/>
      <c r="M2" s="411"/>
      <c r="N2" s="411"/>
      <c r="O2" s="426" t="s">
        <v>85</v>
      </c>
    </row>
    <row r="3" s="403" customFormat="1" ht="37" customHeight="1" spans="1:15">
      <c r="A3" s="412" t="s">
        <v>1397</v>
      </c>
      <c r="B3" s="413" t="s">
        <v>1398</v>
      </c>
      <c r="C3" s="678" t="s">
        <v>1399</v>
      </c>
      <c r="D3" s="9"/>
      <c r="E3" s="678" t="s">
        <v>1400</v>
      </c>
      <c r="F3" s="9"/>
      <c r="G3" s="679" t="s">
        <v>1401</v>
      </c>
      <c r="H3" s="423"/>
      <c r="I3" s="423"/>
      <c r="J3" s="423"/>
      <c r="K3" s="423"/>
      <c r="L3" s="423"/>
      <c r="M3" s="423"/>
      <c r="N3" s="427"/>
      <c r="O3" s="24" t="s">
        <v>1402</v>
      </c>
    </row>
    <row r="4" s="404" customFormat="1" ht="54" customHeight="1" spans="1:15">
      <c r="A4" s="414"/>
      <c r="B4" s="415"/>
      <c r="C4" s="147" t="s">
        <v>1403</v>
      </c>
      <c r="D4" s="9" t="s">
        <v>1404</v>
      </c>
      <c r="E4" s="147" t="s">
        <v>1403</v>
      </c>
      <c r="F4" s="9" t="s">
        <v>1404</v>
      </c>
      <c r="G4" s="147" t="s">
        <v>1403</v>
      </c>
      <c r="H4" s="147" t="s">
        <v>1405</v>
      </c>
      <c r="I4" s="656" t="s">
        <v>1406</v>
      </c>
      <c r="J4" s="147" t="s">
        <v>1407</v>
      </c>
      <c r="K4" s="9" t="s">
        <v>1404</v>
      </c>
      <c r="L4" s="9" t="s">
        <v>1408</v>
      </c>
      <c r="M4" s="678" t="s">
        <v>1409</v>
      </c>
      <c r="N4" s="9" t="s">
        <v>1410</v>
      </c>
      <c r="O4" s="25"/>
    </row>
    <row r="5" s="404" customFormat="1" ht="37.5" customHeight="1" spans="1:15">
      <c r="A5" s="416"/>
      <c r="B5" s="147" t="s">
        <v>1259</v>
      </c>
      <c r="C5" s="19">
        <f t="shared" ref="C5:G5" si="0">C6+C7+C8</f>
        <v>486</v>
      </c>
      <c r="D5" s="19">
        <f t="shared" si="0"/>
        <v>486</v>
      </c>
      <c r="E5" s="19">
        <f t="shared" si="0"/>
        <v>739</v>
      </c>
      <c r="F5" s="19">
        <f t="shared" si="0"/>
        <v>731</v>
      </c>
      <c r="G5" s="19">
        <f t="shared" si="0"/>
        <v>525</v>
      </c>
      <c r="H5" s="424">
        <f t="shared" ref="H5:H8" si="1">G5/E5*100</f>
        <v>71.04</v>
      </c>
      <c r="I5" s="19">
        <f t="shared" ref="I5:M5" si="2">I6+I7+I8</f>
        <v>33</v>
      </c>
      <c r="J5" s="424">
        <f t="shared" ref="J5:J10" si="3">I5/C5*100</f>
        <v>6.79</v>
      </c>
      <c r="K5" s="19">
        <f t="shared" si="2"/>
        <v>525</v>
      </c>
      <c r="L5" s="425">
        <f t="shared" ref="L5:L8" si="4">K5/F5*100</f>
        <v>71.82</v>
      </c>
      <c r="M5" s="10">
        <f t="shared" si="2"/>
        <v>33</v>
      </c>
      <c r="N5" s="425">
        <f t="shared" ref="N5:N10" si="5">M5/D5*100</f>
        <v>6.79</v>
      </c>
      <c r="O5" s="428"/>
    </row>
    <row r="6" s="404" customFormat="1" ht="33.75" customHeight="1" spans="1:15">
      <c r="A6" s="417">
        <v>1</v>
      </c>
      <c r="B6" s="418" t="s">
        <v>1411</v>
      </c>
      <c r="C6" s="19"/>
      <c r="D6" s="19"/>
      <c r="E6" s="19"/>
      <c r="F6" s="19"/>
      <c r="G6" s="19">
        <v>6</v>
      </c>
      <c r="H6" s="424"/>
      <c r="I6" s="19"/>
      <c r="J6" s="424"/>
      <c r="K6" s="19">
        <v>6</v>
      </c>
      <c r="L6" s="425"/>
      <c r="M6" s="10"/>
      <c r="N6" s="425"/>
      <c r="O6" s="428"/>
    </row>
    <row r="7" s="403" customFormat="1" ht="34.5" customHeight="1" spans="1:15">
      <c r="A7" s="417">
        <v>2</v>
      </c>
      <c r="B7" s="418" t="s">
        <v>1412</v>
      </c>
      <c r="C7" s="419">
        <v>97</v>
      </c>
      <c r="D7" s="12">
        <v>97</v>
      </c>
      <c r="E7" s="419">
        <v>226</v>
      </c>
      <c r="F7" s="12">
        <v>218</v>
      </c>
      <c r="G7" s="19">
        <v>98</v>
      </c>
      <c r="H7" s="424">
        <f t="shared" si="1"/>
        <v>43.36</v>
      </c>
      <c r="I7" s="19">
        <f t="shared" ref="I7:I10" si="6">G7-C7</f>
        <v>1</v>
      </c>
      <c r="J7" s="424">
        <f t="shared" si="3"/>
        <v>1.03</v>
      </c>
      <c r="K7" s="12">
        <v>98</v>
      </c>
      <c r="L7" s="425">
        <f t="shared" si="4"/>
        <v>44.95</v>
      </c>
      <c r="M7" s="10">
        <f t="shared" ref="M7:M10" si="7">K7-D7</f>
        <v>1</v>
      </c>
      <c r="N7" s="425">
        <f t="shared" si="5"/>
        <v>1.03</v>
      </c>
      <c r="O7" s="429"/>
    </row>
    <row r="8" s="403" customFormat="1" ht="36" customHeight="1" spans="1:15">
      <c r="A8" s="417"/>
      <c r="B8" s="147" t="s">
        <v>1413</v>
      </c>
      <c r="C8" s="419">
        <f t="shared" ref="C8:G8" si="8">SUM(C9:C10)</f>
        <v>389</v>
      </c>
      <c r="D8" s="419">
        <f t="shared" si="8"/>
        <v>389</v>
      </c>
      <c r="E8" s="419">
        <f t="shared" si="8"/>
        <v>513</v>
      </c>
      <c r="F8" s="419">
        <f t="shared" si="8"/>
        <v>513</v>
      </c>
      <c r="G8" s="419">
        <f t="shared" si="8"/>
        <v>421</v>
      </c>
      <c r="H8" s="424">
        <f t="shared" si="1"/>
        <v>82.07</v>
      </c>
      <c r="I8" s="19">
        <f t="shared" si="6"/>
        <v>32</v>
      </c>
      <c r="J8" s="424">
        <f t="shared" si="3"/>
        <v>8.23</v>
      </c>
      <c r="K8" s="419">
        <f>SUM(K9:K10)</f>
        <v>421</v>
      </c>
      <c r="L8" s="425">
        <f t="shared" si="4"/>
        <v>82.07</v>
      </c>
      <c r="M8" s="10">
        <f t="shared" si="7"/>
        <v>32</v>
      </c>
      <c r="N8" s="425">
        <f t="shared" si="5"/>
        <v>8.23</v>
      </c>
      <c r="O8" s="429"/>
    </row>
    <row r="9" s="403" customFormat="1" ht="36" customHeight="1" spans="1:15">
      <c r="A9" s="417">
        <v>3</v>
      </c>
      <c r="B9" s="680" t="s">
        <v>1414</v>
      </c>
      <c r="C9" s="419">
        <v>12</v>
      </c>
      <c r="D9" s="12">
        <v>12</v>
      </c>
      <c r="E9" s="419"/>
      <c r="F9" s="12"/>
      <c r="G9" s="19">
        <v>48</v>
      </c>
      <c r="H9" s="424"/>
      <c r="I9" s="19">
        <f t="shared" si="6"/>
        <v>36</v>
      </c>
      <c r="J9" s="424">
        <f t="shared" si="3"/>
        <v>300</v>
      </c>
      <c r="K9" s="12">
        <v>48</v>
      </c>
      <c r="L9" s="425"/>
      <c r="M9" s="10">
        <f t="shared" si="7"/>
        <v>36</v>
      </c>
      <c r="N9" s="425">
        <f t="shared" si="5"/>
        <v>300</v>
      </c>
      <c r="O9" s="26"/>
    </row>
    <row r="10" s="403" customFormat="1" ht="31.5" customHeight="1" spans="1:15">
      <c r="A10" s="417">
        <v>4</v>
      </c>
      <c r="B10" s="418" t="s">
        <v>1415</v>
      </c>
      <c r="C10" s="419">
        <v>377</v>
      </c>
      <c r="D10" s="12">
        <v>377</v>
      </c>
      <c r="E10" s="419">
        <v>513</v>
      </c>
      <c r="F10" s="12">
        <v>513</v>
      </c>
      <c r="G10" s="19">
        <v>373</v>
      </c>
      <c r="H10" s="424">
        <f>G10/E10*100</f>
        <v>72.71</v>
      </c>
      <c r="I10" s="19">
        <f t="shared" si="6"/>
        <v>-4</v>
      </c>
      <c r="J10" s="424">
        <f t="shared" si="3"/>
        <v>-1.06</v>
      </c>
      <c r="K10" s="12">
        <v>373</v>
      </c>
      <c r="L10" s="425">
        <f>K10/F10*100</f>
        <v>72.71</v>
      </c>
      <c r="M10" s="10">
        <f t="shared" si="7"/>
        <v>-4</v>
      </c>
      <c r="N10" s="425">
        <f t="shared" si="5"/>
        <v>-1.06</v>
      </c>
      <c r="O10" s="429"/>
    </row>
    <row r="11" s="405" customFormat="1" ht="13.35" customHeight="1" spans="1:15">
      <c r="A11" s="420"/>
      <c r="B11" s="421"/>
      <c r="C11" s="421"/>
      <c r="D11" s="421"/>
      <c r="E11" s="421"/>
      <c r="F11" s="421"/>
      <c r="G11" s="421"/>
      <c r="H11" s="421"/>
      <c r="I11" s="421"/>
      <c r="J11" s="421"/>
      <c r="K11" s="421"/>
      <c r="L11" s="421"/>
      <c r="M11" s="421"/>
      <c r="N11" s="421"/>
      <c r="O11" s="430"/>
    </row>
    <row r="12" ht="13.35" customHeight="1"/>
    <row r="13" ht="13.3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sheetData>
  <mergeCells count="8">
    <mergeCell ref="A1:O1"/>
    <mergeCell ref="C3:D3"/>
    <mergeCell ref="E3:F3"/>
    <mergeCell ref="G3:N3"/>
    <mergeCell ref="B11:N11"/>
    <mergeCell ref="A3:A4"/>
    <mergeCell ref="B3:B4"/>
    <mergeCell ref="O3:O4"/>
  </mergeCells>
  <pageMargins left="0.708661417322835" right="0.708661417322835" top="0.748031496062992" bottom="0.748031496062992" header="0.31496062992126" footer="0.31496062992126"/>
  <pageSetup paperSize="9" scale="8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29"/>
  <sheetViews>
    <sheetView zoomScaleSheetLayoutView="60" workbookViewId="0">
      <selection activeCell="L21" sqref="L21"/>
    </sheetView>
  </sheetViews>
  <sheetFormatPr defaultColWidth="9" defaultRowHeight="15.75"/>
  <cols>
    <col min="1" max="1" width="31.5" style="388" customWidth="1"/>
    <col min="2" max="2" width="11.625" style="389" customWidth="1"/>
    <col min="3" max="3" width="31.75" style="389" customWidth="1"/>
    <col min="4" max="4" width="11.5" style="389" customWidth="1"/>
    <col min="5" max="5" width="11.375" style="388" customWidth="1"/>
    <col min="6" max="6" width="9" style="54" customWidth="1"/>
    <col min="7" max="244" width="9" style="54"/>
    <col min="245" max="16384" width="9" style="57"/>
  </cols>
  <sheetData>
    <row r="1" s="54" customFormat="1" ht="32.25" customHeight="1" spans="1:253">
      <c r="A1" s="681" t="s">
        <v>1416</v>
      </c>
      <c r="B1" s="390"/>
      <c r="C1" s="390"/>
      <c r="D1" s="390"/>
      <c r="E1" s="390"/>
      <c r="IK1" s="57"/>
      <c r="IL1" s="57"/>
      <c r="IM1" s="57"/>
      <c r="IN1" s="57"/>
      <c r="IO1" s="57"/>
      <c r="IP1" s="57"/>
      <c r="IQ1" s="57"/>
      <c r="IR1" s="57"/>
      <c r="IS1" s="57"/>
    </row>
    <row r="2" s="54" customFormat="1" ht="15.95" customHeight="1" spans="1:253">
      <c r="A2" s="271"/>
      <c r="B2" s="391"/>
      <c r="C2" s="388"/>
      <c r="D2" s="392" t="s">
        <v>1417</v>
      </c>
      <c r="E2" s="388"/>
      <c r="IK2" s="57"/>
      <c r="IL2" s="57"/>
      <c r="IM2" s="57"/>
      <c r="IN2" s="57"/>
      <c r="IO2" s="57"/>
      <c r="IP2" s="57"/>
      <c r="IQ2" s="57"/>
      <c r="IR2" s="57"/>
      <c r="IS2" s="57"/>
    </row>
    <row r="3" s="55" customFormat="1" ht="18.95" customHeight="1" spans="1:5">
      <c r="A3" s="393" t="s">
        <v>1336</v>
      </c>
      <c r="B3" s="394"/>
      <c r="C3" s="395" t="s">
        <v>1337</v>
      </c>
      <c r="D3" s="396"/>
      <c r="E3" s="399" t="s">
        <v>1418</v>
      </c>
    </row>
    <row r="4" s="55" customFormat="1" ht="18" customHeight="1" spans="1:5">
      <c r="A4" s="68" t="s">
        <v>1419</v>
      </c>
      <c r="B4" s="68" t="s">
        <v>1420</v>
      </c>
      <c r="C4" s="68" t="s">
        <v>1419</v>
      </c>
      <c r="D4" s="68" t="s">
        <v>1420</v>
      </c>
      <c r="E4" s="400"/>
    </row>
    <row r="5" s="55" customFormat="1" ht="21.95" customHeight="1" spans="1:5">
      <c r="A5" s="80" t="s">
        <v>1421</v>
      </c>
      <c r="B5" s="76">
        <f>SUM(B6:B8)</f>
        <v>2751</v>
      </c>
      <c r="C5" s="80" t="s">
        <v>1421</v>
      </c>
      <c r="D5" s="76">
        <f>SUM(D6:D8)</f>
        <v>2751</v>
      </c>
      <c r="E5" s="401"/>
    </row>
    <row r="6" s="55" customFormat="1" ht="21.95" customHeight="1" spans="1:5">
      <c r="A6" s="75" t="s">
        <v>1422</v>
      </c>
      <c r="B6" s="76">
        <v>1790</v>
      </c>
      <c r="C6" s="75" t="s">
        <v>1423</v>
      </c>
      <c r="D6" s="76">
        <v>2699</v>
      </c>
      <c r="E6" s="401"/>
    </row>
    <row r="7" s="55" customFormat="1" ht="21.95" customHeight="1" spans="1:5">
      <c r="A7" s="75" t="s">
        <v>1353</v>
      </c>
      <c r="B7" s="76"/>
      <c r="C7" s="75" t="s">
        <v>1424</v>
      </c>
      <c r="D7" s="76"/>
      <c r="E7" s="401"/>
    </row>
    <row r="8" s="55" customFormat="1" ht="21.95" customHeight="1" spans="1:5">
      <c r="A8" s="75" t="s">
        <v>1365</v>
      </c>
      <c r="B8" s="76">
        <v>961</v>
      </c>
      <c r="C8" s="75" t="s">
        <v>1355</v>
      </c>
      <c r="D8" s="76">
        <f>B5-D6-D7</f>
        <v>52</v>
      </c>
      <c r="E8" s="401"/>
    </row>
    <row r="9" s="55" customFormat="1" ht="21.95" customHeight="1" spans="1:5">
      <c r="A9" s="80" t="s">
        <v>1425</v>
      </c>
      <c r="B9" s="76">
        <f>SUM(B10:B12)</f>
        <v>11123</v>
      </c>
      <c r="C9" s="80" t="s">
        <v>1425</v>
      </c>
      <c r="D9" s="76">
        <f>SUM(D10:D12)</f>
        <v>11123</v>
      </c>
      <c r="E9" s="401"/>
    </row>
    <row r="10" s="55" customFormat="1" ht="21.95" customHeight="1" spans="1:5">
      <c r="A10" s="75" t="s">
        <v>1426</v>
      </c>
      <c r="B10" s="76">
        <v>10542</v>
      </c>
      <c r="C10" s="75" t="s">
        <v>1427</v>
      </c>
      <c r="D10" s="76">
        <v>10542</v>
      </c>
      <c r="E10" s="401"/>
    </row>
    <row r="11" s="55" customFormat="1" ht="21.95" customHeight="1" spans="1:5">
      <c r="A11" s="75" t="s">
        <v>1353</v>
      </c>
      <c r="B11" s="76">
        <v>581</v>
      </c>
      <c r="C11" s="75" t="s">
        <v>1350</v>
      </c>
      <c r="D11" s="76">
        <v>581</v>
      </c>
      <c r="E11" s="401"/>
    </row>
    <row r="12" s="55" customFormat="1" ht="21.95" customHeight="1" spans="1:5">
      <c r="A12" s="75" t="s">
        <v>1365</v>
      </c>
      <c r="B12" s="76"/>
      <c r="C12" s="75" t="s">
        <v>1355</v>
      </c>
      <c r="D12" s="76">
        <f>B9-D10-D11</f>
        <v>0</v>
      </c>
      <c r="E12" s="401"/>
    </row>
    <row r="13" s="55" customFormat="1" ht="21.95" customHeight="1" spans="1:5">
      <c r="A13" s="674" t="s">
        <v>1428</v>
      </c>
      <c r="B13" s="76">
        <f>SUM(B14:B16)</f>
        <v>3861</v>
      </c>
      <c r="C13" s="80" t="s">
        <v>1428</v>
      </c>
      <c r="D13" s="76">
        <f>SUM(D14:D16)</f>
        <v>3861</v>
      </c>
      <c r="E13" s="401"/>
    </row>
    <row r="14" s="55" customFormat="1" ht="21.95" customHeight="1" spans="1:5">
      <c r="A14" s="75" t="s">
        <v>1429</v>
      </c>
      <c r="B14" s="76">
        <v>3196</v>
      </c>
      <c r="C14" s="75" t="s">
        <v>1430</v>
      </c>
      <c r="D14" s="76">
        <v>3379</v>
      </c>
      <c r="E14" s="401"/>
    </row>
    <row r="15" s="55" customFormat="1" ht="21.95" customHeight="1" spans="1:5">
      <c r="A15" s="75" t="s">
        <v>1353</v>
      </c>
      <c r="B15" s="76">
        <v>81</v>
      </c>
      <c r="C15" s="75"/>
      <c r="D15" s="76"/>
      <c r="E15" s="401"/>
    </row>
    <row r="16" s="55" customFormat="1" ht="21.95" customHeight="1" spans="1:5">
      <c r="A16" s="75" t="s">
        <v>1365</v>
      </c>
      <c r="B16" s="76">
        <v>584</v>
      </c>
      <c r="C16" s="75" t="s">
        <v>1355</v>
      </c>
      <c r="D16" s="76">
        <f>B13-D14-D15</f>
        <v>482</v>
      </c>
      <c r="E16" s="401"/>
    </row>
    <row r="17" s="55" customFormat="1" ht="21.95" customHeight="1" spans="1:5">
      <c r="A17" s="674" t="s">
        <v>1431</v>
      </c>
      <c r="B17" s="76">
        <f>SUM(B18:B20)</f>
        <v>165</v>
      </c>
      <c r="C17" s="80" t="s">
        <v>1431</v>
      </c>
      <c r="D17" s="76">
        <f>SUM(D18:D20)</f>
        <v>165</v>
      </c>
      <c r="E17" s="401"/>
    </row>
    <row r="18" s="55" customFormat="1" ht="21.95" customHeight="1" spans="1:5">
      <c r="A18" s="75" t="s">
        <v>1429</v>
      </c>
      <c r="B18" s="76">
        <v>165</v>
      </c>
      <c r="C18" s="75" t="s">
        <v>1432</v>
      </c>
      <c r="D18" s="76">
        <v>149</v>
      </c>
      <c r="E18" s="401"/>
    </row>
    <row r="19" s="55" customFormat="1" ht="21.95" customHeight="1" spans="1:5">
      <c r="A19" s="75" t="s">
        <v>1353</v>
      </c>
      <c r="B19" s="76"/>
      <c r="C19" s="75"/>
      <c r="D19" s="76"/>
      <c r="E19" s="401"/>
    </row>
    <row r="20" s="55" customFormat="1" ht="21.95" customHeight="1" spans="1:5">
      <c r="A20" s="75" t="s">
        <v>1365</v>
      </c>
      <c r="B20" s="76"/>
      <c r="C20" s="75" t="s">
        <v>1355</v>
      </c>
      <c r="D20" s="76">
        <f>B17-D18-D19</f>
        <v>16</v>
      </c>
      <c r="E20" s="401"/>
    </row>
    <row r="21" s="55" customFormat="1" ht="21.95" customHeight="1" spans="1:5">
      <c r="A21" s="674" t="s">
        <v>1433</v>
      </c>
      <c r="B21" s="76">
        <f>SUM(B22:B24)</f>
        <v>72</v>
      </c>
      <c r="C21" s="80" t="s">
        <v>1433</v>
      </c>
      <c r="D21" s="76">
        <f>SUM(D22:D24)</f>
        <v>72</v>
      </c>
      <c r="E21" s="401"/>
    </row>
    <row r="22" s="55" customFormat="1" ht="21.95" customHeight="1" spans="1:5">
      <c r="A22" s="75" t="s">
        <v>1429</v>
      </c>
      <c r="B22" s="76"/>
      <c r="C22" s="75" t="s">
        <v>1434</v>
      </c>
      <c r="D22" s="76"/>
      <c r="E22" s="401"/>
    </row>
    <row r="23" s="55" customFormat="1" ht="21.95" customHeight="1" spans="1:5">
      <c r="A23" s="75" t="s">
        <v>1353</v>
      </c>
      <c r="B23" s="76">
        <v>3</v>
      </c>
      <c r="C23" s="75"/>
      <c r="D23" s="76"/>
      <c r="E23" s="401"/>
    </row>
    <row r="24" s="55" customFormat="1" ht="21.95" customHeight="1" spans="1:5">
      <c r="A24" s="75" t="s">
        <v>1365</v>
      </c>
      <c r="B24" s="76">
        <v>69</v>
      </c>
      <c r="C24" s="75" t="s">
        <v>1355</v>
      </c>
      <c r="D24" s="76">
        <f>B21-D22-D23</f>
        <v>72</v>
      </c>
      <c r="E24" s="401"/>
    </row>
    <row r="25" s="55" customFormat="1" ht="21.95" customHeight="1" spans="1:18">
      <c r="A25" s="674" t="s">
        <v>1435</v>
      </c>
      <c r="B25" s="76">
        <f>SUM(B26:B28)</f>
        <v>205</v>
      </c>
      <c r="C25" s="674" t="s">
        <v>1435</v>
      </c>
      <c r="D25" s="76">
        <f>SUM(D26:D28)</f>
        <v>205</v>
      </c>
      <c r="E25" s="401"/>
      <c r="R25" s="55" t="s">
        <v>1436</v>
      </c>
    </row>
    <row r="26" s="55" customFormat="1" ht="21.95" customHeight="1" spans="1:5">
      <c r="A26" s="75" t="s">
        <v>1429</v>
      </c>
      <c r="B26" s="76"/>
      <c r="C26" s="75" t="s">
        <v>1437</v>
      </c>
      <c r="D26" s="76"/>
      <c r="E26" s="401"/>
    </row>
    <row r="27" s="55" customFormat="1" ht="21.95" customHeight="1" spans="1:5">
      <c r="A27" s="75" t="s">
        <v>1353</v>
      </c>
      <c r="B27" s="76">
        <v>2</v>
      </c>
      <c r="C27" s="75" t="s">
        <v>1350</v>
      </c>
      <c r="D27" s="76"/>
      <c r="E27" s="401"/>
    </row>
    <row r="28" s="55" customFormat="1" ht="21.95" customHeight="1" spans="1:5">
      <c r="A28" s="75" t="s">
        <v>1365</v>
      </c>
      <c r="B28" s="397">
        <v>203</v>
      </c>
      <c r="C28" s="75" t="s">
        <v>1355</v>
      </c>
      <c r="D28" s="397">
        <f>B25-D26-D27</f>
        <v>205</v>
      </c>
      <c r="E28" s="401"/>
    </row>
    <row r="29" s="55" customFormat="1" ht="30" customHeight="1" spans="1:5">
      <c r="A29" s="398" t="s">
        <v>1366</v>
      </c>
      <c r="B29" s="76">
        <f>SUM(B5+B9+B13+B17+B21+B25)</f>
        <v>18177</v>
      </c>
      <c r="C29" s="398" t="s">
        <v>1366</v>
      </c>
      <c r="D29" s="76">
        <f>SUM(D5+D9+D13+D17+D21+D25)</f>
        <v>18177</v>
      </c>
      <c r="E29" s="401"/>
    </row>
  </sheetData>
  <mergeCells count="4">
    <mergeCell ref="A1:E1"/>
    <mergeCell ref="A3:B3"/>
    <mergeCell ref="C3:D3"/>
    <mergeCell ref="E3:E4"/>
  </mergeCells>
  <printOptions horizontalCentered="1"/>
  <pageMargins left="0.708661417322835" right="0.708661417322835" top="0.748031496062992" bottom="0.748031496062992" header="0.31496062992126" footer="0.31496062992126"/>
  <pageSetup paperSize="9" scale="83" orientation="portrait" blackAndWhite="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zoomScaleSheetLayoutView="60" workbookViewId="0">
      <selection activeCell="A2" sqref="A$1:E$1048576"/>
    </sheetView>
  </sheetViews>
  <sheetFormatPr defaultColWidth="24.25" defaultRowHeight="15.75" outlineLevelCol="4"/>
  <cols>
    <col min="1" max="1" width="24.25" style="269" customWidth="1"/>
    <col min="2" max="2" width="14.375" style="269" customWidth="1"/>
    <col min="3" max="3" width="17.5" style="269" customWidth="1"/>
    <col min="4" max="4" width="16.375" style="269" customWidth="1"/>
    <col min="5" max="5" width="20.375" style="269" customWidth="1"/>
    <col min="6" max="16384" width="24.25" style="140"/>
  </cols>
  <sheetData>
    <row r="1" s="143" customFormat="1" ht="20.25" spans="1:5">
      <c r="A1" s="655" t="s">
        <v>1438</v>
      </c>
      <c r="B1" s="275"/>
      <c r="C1" s="275"/>
      <c r="D1" s="275"/>
      <c r="E1" s="275"/>
    </row>
    <row r="2" s="140" customFormat="1" ht="20.25" customHeight="1" spans="1:5">
      <c r="A2" s="269"/>
      <c r="B2" s="269"/>
      <c r="C2" s="269"/>
      <c r="D2" s="269"/>
      <c r="E2" s="383" t="s">
        <v>51</v>
      </c>
    </row>
    <row r="3" s="140" customFormat="1" ht="31.5" customHeight="1" spans="1:5">
      <c r="A3" s="366" t="s">
        <v>1439</v>
      </c>
      <c r="B3" s="682" t="s">
        <v>1440</v>
      </c>
      <c r="C3" s="682" t="s">
        <v>1441</v>
      </c>
      <c r="D3" s="368" t="s">
        <v>1442</v>
      </c>
      <c r="E3" s="683" t="s">
        <v>1443</v>
      </c>
    </row>
    <row r="4" s="362" customFormat="1" ht="22.5" customHeight="1" spans="1:5">
      <c r="A4" s="369" t="s">
        <v>59</v>
      </c>
      <c r="B4" s="370">
        <f>SUM(B5:B18)</f>
        <v>16025</v>
      </c>
      <c r="C4" s="370">
        <f>SUM(C5:C18)</f>
        <v>14314</v>
      </c>
      <c r="D4" s="371">
        <f>SUM(D5:D18)</f>
        <v>15045</v>
      </c>
      <c r="E4" s="385">
        <f t="shared" ref="E4:E17" si="0">(D4-C4)/C4*100</f>
        <v>5.11</v>
      </c>
    </row>
    <row r="5" s="363" customFormat="1" ht="22.5" customHeight="1" spans="1:5">
      <c r="A5" s="372" t="s">
        <v>60</v>
      </c>
      <c r="B5" s="373">
        <f>4250+120</f>
        <v>4370</v>
      </c>
      <c r="C5" s="373">
        <v>3843</v>
      </c>
      <c r="D5" s="374">
        <v>3950</v>
      </c>
      <c r="E5" s="386">
        <f t="shared" si="0"/>
        <v>2.78</v>
      </c>
    </row>
    <row r="6" s="363" customFormat="1" ht="22.5" customHeight="1" spans="1:5">
      <c r="A6" s="372" t="s">
        <v>61</v>
      </c>
      <c r="B6" s="373">
        <v>1300</v>
      </c>
      <c r="C6" s="373">
        <v>1726</v>
      </c>
      <c r="D6" s="374">
        <v>1775</v>
      </c>
      <c r="E6" s="386">
        <f t="shared" si="0"/>
        <v>2.84</v>
      </c>
    </row>
    <row r="7" s="363" customFormat="1" ht="22.5" customHeight="1" spans="1:5">
      <c r="A7" s="372" t="s">
        <v>62</v>
      </c>
      <c r="B7" s="373">
        <v>300</v>
      </c>
      <c r="C7" s="373">
        <v>332</v>
      </c>
      <c r="D7" s="374">
        <v>350</v>
      </c>
      <c r="E7" s="386">
        <f t="shared" si="0"/>
        <v>5.42</v>
      </c>
    </row>
    <row r="8" s="363" customFormat="1" ht="22.5" customHeight="1" spans="1:5">
      <c r="A8" s="372" t="s">
        <v>63</v>
      </c>
      <c r="B8" s="373">
        <v>50</v>
      </c>
      <c r="C8" s="373">
        <v>170</v>
      </c>
      <c r="D8" s="374">
        <v>185</v>
      </c>
      <c r="E8" s="386">
        <f t="shared" si="0"/>
        <v>8.82</v>
      </c>
    </row>
    <row r="9" s="363" customFormat="1" ht="22.5" customHeight="1" spans="1:5">
      <c r="A9" s="372" t="s">
        <v>64</v>
      </c>
      <c r="B9" s="373">
        <v>600</v>
      </c>
      <c r="C9" s="373">
        <v>588</v>
      </c>
      <c r="D9" s="374">
        <v>650</v>
      </c>
      <c r="E9" s="386">
        <f t="shared" si="0"/>
        <v>10.54</v>
      </c>
    </row>
    <row r="10" s="363" customFormat="1" ht="22.5" customHeight="1" spans="1:5">
      <c r="A10" s="372" t="s">
        <v>65</v>
      </c>
      <c r="B10" s="373">
        <v>500</v>
      </c>
      <c r="C10" s="373">
        <v>1221</v>
      </c>
      <c r="D10" s="374">
        <v>1250</v>
      </c>
      <c r="E10" s="386">
        <f t="shared" si="0"/>
        <v>2.38</v>
      </c>
    </row>
    <row r="11" s="363" customFormat="1" ht="22.5" customHeight="1" spans="1:5">
      <c r="A11" s="372" t="s">
        <v>66</v>
      </c>
      <c r="B11" s="373">
        <v>300</v>
      </c>
      <c r="C11" s="373">
        <v>270</v>
      </c>
      <c r="D11" s="374">
        <v>285</v>
      </c>
      <c r="E11" s="386">
        <f t="shared" si="0"/>
        <v>5.56</v>
      </c>
    </row>
    <row r="12" s="363" customFormat="1" ht="22.5" customHeight="1" spans="1:5">
      <c r="A12" s="372" t="s">
        <v>67</v>
      </c>
      <c r="B12" s="373">
        <v>200</v>
      </c>
      <c r="C12" s="373">
        <v>342</v>
      </c>
      <c r="D12" s="374">
        <v>350</v>
      </c>
      <c r="E12" s="386">
        <f t="shared" si="0"/>
        <v>2.34</v>
      </c>
    </row>
    <row r="13" s="363" customFormat="1" ht="22.5" customHeight="1" spans="1:5">
      <c r="A13" s="372" t="s">
        <v>68</v>
      </c>
      <c r="B13" s="373">
        <v>1600</v>
      </c>
      <c r="C13" s="373">
        <v>1074</v>
      </c>
      <c r="D13" s="374">
        <v>1250</v>
      </c>
      <c r="E13" s="386">
        <f t="shared" si="0"/>
        <v>16.39</v>
      </c>
    </row>
    <row r="14" s="363" customFormat="1" ht="22.5" customHeight="1" spans="1:5">
      <c r="A14" s="372" t="s">
        <v>71</v>
      </c>
      <c r="B14" s="373">
        <v>600</v>
      </c>
      <c r="C14" s="373">
        <v>692</v>
      </c>
      <c r="D14" s="374">
        <v>700</v>
      </c>
      <c r="E14" s="386">
        <f t="shared" si="0"/>
        <v>1.16</v>
      </c>
    </row>
    <row r="15" s="363" customFormat="1" ht="22.5" customHeight="1" spans="1:5">
      <c r="A15" s="372" t="s">
        <v>69</v>
      </c>
      <c r="B15" s="373">
        <v>4200</v>
      </c>
      <c r="C15" s="373">
        <v>2550</v>
      </c>
      <c r="D15" s="374">
        <v>2650</v>
      </c>
      <c r="E15" s="386">
        <f t="shared" si="0"/>
        <v>3.92</v>
      </c>
    </row>
    <row r="16" s="363" customFormat="1" ht="22.5" customHeight="1" spans="1:5">
      <c r="A16" s="372" t="s">
        <v>70</v>
      </c>
      <c r="B16" s="373">
        <v>2000</v>
      </c>
      <c r="C16" s="373">
        <v>1505</v>
      </c>
      <c r="D16" s="374">
        <v>1650</v>
      </c>
      <c r="E16" s="386">
        <f t="shared" si="0"/>
        <v>9.63</v>
      </c>
    </row>
    <row r="17" s="363" customFormat="1" ht="22.5" customHeight="1" spans="1:5">
      <c r="A17" s="647" t="s">
        <v>1444</v>
      </c>
      <c r="B17" s="373">
        <v>5</v>
      </c>
      <c r="C17" s="373">
        <v>1</v>
      </c>
      <c r="D17" s="375">
        <v>0</v>
      </c>
      <c r="E17" s="386">
        <f t="shared" si="0"/>
        <v>-100</v>
      </c>
    </row>
    <row r="18" s="363" customFormat="1" ht="22.5" customHeight="1" spans="1:5">
      <c r="A18" s="372" t="s">
        <v>74</v>
      </c>
      <c r="B18" s="376"/>
      <c r="C18" s="377"/>
      <c r="D18" s="375"/>
      <c r="E18" s="386"/>
    </row>
    <row r="19" s="362" customFormat="1" ht="22.5" customHeight="1" spans="1:5">
      <c r="A19" s="369" t="s">
        <v>75</v>
      </c>
      <c r="B19" s="370">
        <f>SUM(B20:B26)</f>
        <v>6073</v>
      </c>
      <c r="C19" s="370">
        <f>SUM(C20:C26)</f>
        <v>6810</v>
      </c>
      <c r="D19" s="371">
        <f>SUM(D20:D26)</f>
        <v>6713</v>
      </c>
      <c r="E19" s="385">
        <f t="shared" ref="E19:E22" si="1">(D19-C19)/C19*100</f>
        <v>-1.42</v>
      </c>
    </row>
    <row r="20" s="363" customFormat="1" ht="22.5" customHeight="1" spans="1:5">
      <c r="A20" s="372" t="s">
        <v>76</v>
      </c>
      <c r="B20" s="377">
        <v>1380</v>
      </c>
      <c r="C20" s="373">
        <v>871</v>
      </c>
      <c r="D20" s="377">
        <v>950</v>
      </c>
      <c r="E20" s="386">
        <f t="shared" si="1"/>
        <v>9.07</v>
      </c>
    </row>
    <row r="21" s="363" customFormat="1" ht="22.5" customHeight="1" spans="1:5">
      <c r="A21" s="372" t="s">
        <v>77</v>
      </c>
      <c r="B21" s="377">
        <f>2320-397</f>
        <v>1923</v>
      </c>
      <c r="C21" s="373">
        <v>2051</v>
      </c>
      <c r="D21" s="377">
        <v>2050</v>
      </c>
      <c r="E21" s="386">
        <f t="shared" si="1"/>
        <v>-0.05</v>
      </c>
    </row>
    <row r="22" s="363" customFormat="1" ht="22.5" customHeight="1" spans="1:5">
      <c r="A22" s="372" t="s">
        <v>78</v>
      </c>
      <c r="B22" s="377">
        <v>1590</v>
      </c>
      <c r="C22" s="373">
        <v>2875</v>
      </c>
      <c r="D22" s="377">
        <v>2013</v>
      </c>
      <c r="E22" s="386">
        <f t="shared" si="1"/>
        <v>-29.98</v>
      </c>
    </row>
    <row r="23" s="363" customFormat="1" ht="22.5" customHeight="1" spans="1:5">
      <c r="A23" s="372" t="s">
        <v>79</v>
      </c>
      <c r="B23" s="377"/>
      <c r="C23" s="373"/>
      <c r="D23" s="377"/>
      <c r="E23" s="386"/>
    </row>
    <row r="24" s="363" customFormat="1" ht="22.5" customHeight="1" spans="1:5">
      <c r="A24" s="378" t="s">
        <v>1445</v>
      </c>
      <c r="B24" s="377">
        <v>980</v>
      </c>
      <c r="C24" s="373">
        <v>659</v>
      </c>
      <c r="D24" s="377">
        <v>1500</v>
      </c>
      <c r="E24" s="386">
        <f t="shared" ref="E24:E26" si="2">(D24-C24)/C24*100</f>
        <v>127.62</v>
      </c>
    </row>
    <row r="25" s="363" customFormat="1" ht="22.5" customHeight="1" spans="1:5">
      <c r="A25" s="379" t="s">
        <v>81</v>
      </c>
      <c r="B25" s="377">
        <v>200</v>
      </c>
      <c r="C25" s="373">
        <v>353</v>
      </c>
      <c r="D25" s="377">
        <v>200</v>
      </c>
      <c r="E25" s="386">
        <f t="shared" si="2"/>
        <v>-43.34</v>
      </c>
    </row>
    <row r="26" s="364" customFormat="1" ht="22.5" customHeight="1" spans="1:5">
      <c r="A26" s="372" t="s">
        <v>82</v>
      </c>
      <c r="B26" s="376"/>
      <c r="C26" s="373">
        <v>1</v>
      </c>
      <c r="D26" s="377"/>
      <c r="E26" s="386">
        <f t="shared" si="2"/>
        <v>-100</v>
      </c>
    </row>
    <row r="27" s="364" customFormat="1" ht="22.5" customHeight="1" spans="1:5">
      <c r="A27" s="372" t="s">
        <v>1446</v>
      </c>
      <c r="B27" s="376"/>
      <c r="C27" s="373"/>
      <c r="D27" s="377"/>
      <c r="E27" s="386"/>
    </row>
    <row r="28" s="363" customFormat="1" ht="22.5" customHeight="1" spans="1:5">
      <c r="A28" s="372" t="s">
        <v>1446</v>
      </c>
      <c r="B28" s="376"/>
      <c r="C28" s="377"/>
      <c r="D28" s="377"/>
      <c r="E28" s="386"/>
    </row>
    <row r="29" s="363" customFormat="1" ht="22.5" customHeight="1" spans="1:5">
      <c r="A29" s="380" t="s">
        <v>83</v>
      </c>
      <c r="B29" s="381">
        <f>B4+B19</f>
        <v>22098</v>
      </c>
      <c r="C29" s="381">
        <f>C4+C19</f>
        <v>21124</v>
      </c>
      <c r="D29" s="381">
        <f>D4+D19</f>
        <v>21758</v>
      </c>
      <c r="E29" s="387">
        <f>(D29-C29)/C29*100</f>
        <v>3</v>
      </c>
    </row>
    <row r="30" s="365" customFormat="1" ht="63" customHeight="1" spans="1:5">
      <c r="A30" s="382"/>
      <c r="B30" s="382"/>
      <c r="C30" s="382"/>
      <c r="D30" s="382"/>
      <c r="E30" s="382"/>
    </row>
    <row r="31" s="365" customFormat="1" ht="51" customHeight="1" spans="1:5">
      <c r="A31" s="269"/>
      <c r="B31" s="269"/>
      <c r="C31" s="269"/>
      <c r="D31" s="269"/>
      <c r="E31" s="269"/>
    </row>
    <row r="32" s="365" customFormat="1" ht="51" customHeight="1" spans="1:5">
      <c r="A32" s="269"/>
      <c r="B32" s="269"/>
      <c r="C32" s="269"/>
      <c r="D32" s="269"/>
      <c r="E32" s="269"/>
    </row>
    <row r="33" s="365" customFormat="1" ht="20.1" customHeight="1" spans="1:5">
      <c r="A33" s="269"/>
      <c r="B33" s="269"/>
      <c r="C33" s="269"/>
      <c r="D33" s="269"/>
      <c r="E33" s="269"/>
    </row>
  </sheetData>
  <mergeCells count="1">
    <mergeCell ref="A1:E1"/>
  </mergeCells>
  <printOptions horizontalCentered="1" verticalCentered="1"/>
  <pageMargins left="0.708661417322835" right="0.708661417322835" top="0.748031496062992" bottom="0.748031496062992" header="0.31496062992126" footer="0.31496062992126"/>
  <pageSetup paperSize="9" scale="90" orientation="portrait" blackAndWhite="1"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42"/>
  <sheetViews>
    <sheetView showZeros="0" zoomScaleSheetLayoutView="60" workbookViewId="0">
      <pane xSplit="3" ySplit="3" topLeftCell="D4" activePane="bottomRight" state="frozen"/>
      <selection/>
      <selection pane="topRight"/>
      <selection pane="bottomLeft"/>
      <selection pane="bottomRight" activeCell="K14" sqref="K14"/>
    </sheetView>
  </sheetViews>
  <sheetFormatPr defaultColWidth="9" defaultRowHeight="15.75"/>
  <cols>
    <col min="1" max="1" width="9" style="268"/>
    <col min="2" max="2" width="37.25" style="269" customWidth="1"/>
    <col min="3" max="3" width="11.625" style="269" customWidth="1"/>
    <col min="4" max="8" width="12.5" style="270" customWidth="1"/>
    <col min="9" max="9" width="12.375" style="271" customWidth="1"/>
    <col min="10" max="10" width="12.375" style="269" customWidth="1"/>
    <col min="11" max="11" width="33.25" style="140" customWidth="1"/>
    <col min="12" max="14" width="9" style="140" customWidth="1"/>
    <col min="15" max="16384" width="9" style="140"/>
  </cols>
  <sheetData>
    <row r="1" s="143" customFormat="1" ht="20.25" spans="1:10">
      <c r="A1" s="684" t="s">
        <v>1447</v>
      </c>
      <c r="B1" s="275"/>
      <c r="C1" s="275"/>
      <c r="D1" s="275"/>
      <c r="E1" s="275"/>
      <c r="F1" s="275"/>
      <c r="G1" s="275"/>
      <c r="H1" s="275"/>
      <c r="I1" s="291"/>
      <c r="J1" s="275"/>
    </row>
    <row r="2" s="106" customFormat="1" ht="20.25" customHeight="1" spans="1:10">
      <c r="A2" s="276"/>
      <c r="B2" s="277"/>
      <c r="C2" s="277"/>
      <c r="D2" s="278"/>
      <c r="E2" s="278"/>
      <c r="F2" s="278"/>
      <c r="G2" s="278"/>
      <c r="H2" s="278"/>
      <c r="I2" s="293" t="s">
        <v>1446</v>
      </c>
      <c r="J2" s="252" t="s">
        <v>85</v>
      </c>
    </row>
    <row r="3" s="106" customFormat="1" ht="36" customHeight="1" spans="1:10">
      <c r="A3" s="279" t="s">
        <v>1448</v>
      </c>
      <c r="B3" s="42" t="s">
        <v>89</v>
      </c>
      <c r="C3" s="656" t="s">
        <v>1373</v>
      </c>
      <c r="D3" s="42" t="s">
        <v>1449</v>
      </c>
      <c r="E3" s="685" t="s">
        <v>1450</v>
      </c>
      <c r="F3" s="290" t="s">
        <v>1451</v>
      </c>
      <c r="G3" s="290" t="s">
        <v>1452</v>
      </c>
      <c r="H3" s="686" t="s">
        <v>1453</v>
      </c>
      <c r="I3" s="687" t="s">
        <v>1454</v>
      </c>
      <c r="J3" s="147" t="s">
        <v>1455</v>
      </c>
    </row>
    <row r="4" s="107" customFormat="1" ht="20.1" customHeight="1" spans="1:10">
      <c r="A4" s="280" t="s">
        <v>505</v>
      </c>
      <c r="B4" s="281" t="s">
        <v>506</v>
      </c>
      <c r="C4" s="282">
        <f t="shared" ref="C4:I4" si="0">C5+C17+C26+C36+C47+C58+C69+C77+C86+C99+C108+C119+C131+C138+C146+C152+C159+C166+C173+C180+C187+C201+C207+C214+C249+C236+C195+C229+C243</f>
        <v>22455</v>
      </c>
      <c r="D4" s="282">
        <f t="shared" ref="D4:D67" si="1">SUM(E4:I4)</f>
        <v>26275</v>
      </c>
      <c r="E4" s="282">
        <f t="shared" si="0"/>
        <v>385</v>
      </c>
      <c r="F4" s="282">
        <f t="shared" si="0"/>
        <v>79</v>
      </c>
      <c r="G4" s="282">
        <f t="shared" si="0"/>
        <v>735</v>
      </c>
      <c r="H4" s="282">
        <f t="shared" si="0"/>
        <v>4964</v>
      </c>
      <c r="I4" s="282">
        <f t="shared" si="0"/>
        <v>20112</v>
      </c>
      <c r="J4" s="296">
        <f t="shared" ref="J4:J67" si="2">ROUND(IF(C4=0,IF(D4=0,0,1),IF(D4=0,-1,D4/C4)),4)*100</f>
        <v>117.01</v>
      </c>
    </row>
    <row r="5" s="107" customFormat="1" ht="20.1" customHeight="1" spans="1:10">
      <c r="A5" s="283" t="s">
        <v>507</v>
      </c>
      <c r="B5" s="284" t="s">
        <v>1456</v>
      </c>
      <c r="C5" s="285">
        <f t="shared" ref="C5:I5" si="3">SUM(C6:C16)</f>
        <v>670</v>
      </c>
      <c r="D5" s="285">
        <f t="shared" si="1"/>
        <v>787</v>
      </c>
      <c r="E5" s="285">
        <f t="shared" si="3"/>
        <v>30</v>
      </c>
      <c r="F5" s="285">
        <f t="shared" si="3"/>
        <v>0</v>
      </c>
      <c r="G5" s="285">
        <f t="shared" si="3"/>
        <v>20</v>
      </c>
      <c r="H5" s="285">
        <f t="shared" si="3"/>
        <v>0</v>
      </c>
      <c r="I5" s="285">
        <f t="shared" si="3"/>
        <v>737</v>
      </c>
      <c r="J5" s="299">
        <f t="shared" si="2"/>
        <v>117.46</v>
      </c>
    </row>
    <row r="6" s="106" customFormat="1" ht="20.1" customHeight="1" spans="1:10">
      <c r="A6" s="279" t="s">
        <v>1457</v>
      </c>
      <c r="B6" s="286" t="s">
        <v>1458</v>
      </c>
      <c r="C6" s="287">
        <v>583</v>
      </c>
      <c r="D6" s="288">
        <f t="shared" si="1"/>
        <v>463</v>
      </c>
      <c r="E6" s="287"/>
      <c r="F6" s="287"/>
      <c r="G6" s="287"/>
      <c r="H6" s="287"/>
      <c r="I6" s="302">
        <v>463</v>
      </c>
      <c r="J6" s="303">
        <f t="shared" si="2"/>
        <v>79.42</v>
      </c>
    </row>
    <row r="7" s="106" customFormat="1" ht="20.1" customHeight="1" spans="1:10">
      <c r="A7" s="279" t="s">
        <v>1459</v>
      </c>
      <c r="B7" s="286" t="s">
        <v>1460</v>
      </c>
      <c r="C7" s="287"/>
      <c r="D7" s="288">
        <f t="shared" si="1"/>
        <v>0</v>
      </c>
      <c r="E7" s="287"/>
      <c r="F7" s="287"/>
      <c r="G7" s="287"/>
      <c r="H7" s="287"/>
      <c r="I7" s="302"/>
      <c r="J7" s="303">
        <f t="shared" si="2"/>
        <v>0</v>
      </c>
    </row>
    <row r="8" s="106" customFormat="1" ht="20.1" customHeight="1" spans="1:10">
      <c r="A8" s="279" t="s">
        <v>1461</v>
      </c>
      <c r="B8" s="289" t="s">
        <v>1462</v>
      </c>
      <c r="C8" s="287"/>
      <c r="D8" s="288">
        <f t="shared" si="1"/>
        <v>0</v>
      </c>
      <c r="E8" s="287"/>
      <c r="F8" s="287"/>
      <c r="G8" s="287"/>
      <c r="H8" s="287"/>
      <c r="I8" s="302"/>
      <c r="J8" s="303">
        <f t="shared" si="2"/>
        <v>0</v>
      </c>
    </row>
    <row r="9" s="106" customFormat="1" ht="20.1" customHeight="1" spans="1:10">
      <c r="A9" s="279" t="s">
        <v>1463</v>
      </c>
      <c r="B9" s="289" t="s">
        <v>1464</v>
      </c>
      <c r="C9" s="287">
        <v>46</v>
      </c>
      <c r="D9" s="288">
        <f t="shared" si="1"/>
        <v>61</v>
      </c>
      <c r="E9" s="287"/>
      <c r="F9" s="287"/>
      <c r="G9" s="287"/>
      <c r="H9" s="287"/>
      <c r="I9" s="302">
        <v>61</v>
      </c>
      <c r="J9" s="303">
        <f t="shared" si="2"/>
        <v>132.61</v>
      </c>
    </row>
    <row r="10" s="106" customFormat="1" ht="20.1" customHeight="1" spans="1:10">
      <c r="A10" s="279" t="s">
        <v>1465</v>
      </c>
      <c r="B10" s="289" t="s">
        <v>1466</v>
      </c>
      <c r="C10" s="287">
        <v>22</v>
      </c>
      <c r="D10" s="288">
        <f t="shared" si="1"/>
        <v>35</v>
      </c>
      <c r="E10" s="287"/>
      <c r="F10" s="287"/>
      <c r="G10" s="287">
        <v>5</v>
      </c>
      <c r="H10" s="287"/>
      <c r="I10" s="302">
        <v>30</v>
      </c>
      <c r="J10" s="303">
        <f t="shared" si="2"/>
        <v>159.09</v>
      </c>
    </row>
    <row r="11" s="106" customFormat="1" ht="20.1" customHeight="1" spans="1:10">
      <c r="A11" s="279" t="s">
        <v>1467</v>
      </c>
      <c r="B11" s="41" t="s">
        <v>1468</v>
      </c>
      <c r="C11" s="287">
        <v>2</v>
      </c>
      <c r="D11" s="288">
        <f t="shared" si="1"/>
        <v>10</v>
      </c>
      <c r="E11" s="287"/>
      <c r="F11" s="287"/>
      <c r="G11" s="287"/>
      <c r="H11" s="287"/>
      <c r="I11" s="302">
        <v>10</v>
      </c>
      <c r="J11" s="303">
        <f t="shared" si="2"/>
        <v>500</v>
      </c>
    </row>
    <row r="12" s="106" customFormat="1" ht="20.1" customHeight="1" spans="1:10">
      <c r="A12" s="279" t="s">
        <v>1469</v>
      </c>
      <c r="B12" s="41" t="s">
        <v>1470</v>
      </c>
      <c r="C12" s="287">
        <v>4</v>
      </c>
      <c r="D12" s="288">
        <f t="shared" si="1"/>
        <v>140</v>
      </c>
      <c r="E12" s="287"/>
      <c r="F12" s="287"/>
      <c r="G12" s="287"/>
      <c r="H12" s="287"/>
      <c r="I12" s="302">
        <v>140</v>
      </c>
      <c r="J12" s="303">
        <f t="shared" si="2"/>
        <v>3500</v>
      </c>
    </row>
    <row r="13" s="106" customFormat="1" ht="20.1" customHeight="1" spans="1:10">
      <c r="A13" s="279" t="s">
        <v>1471</v>
      </c>
      <c r="B13" s="41" t="s">
        <v>1472</v>
      </c>
      <c r="C13" s="287"/>
      <c r="D13" s="288">
        <f t="shared" si="1"/>
        <v>15</v>
      </c>
      <c r="E13" s="287"/>
      <c r="F13" s="287"/>
      <c r="G13" s="287"/>
      <c r="H13" s="287"/>
      <c r="I13" s="302">
        <v>15</v>
      </c>
      <c r="J13" s="303">
        <f t="shared" si="2"/>
        <v>100</v>
      </c>
    </row>
    <row r="14" s="106" customFormat="1" ht="20.1" customHeight="1" spans="1:10">
      <c r="A14" s="279" t="s">
        <v>1473</v>
      </c>
      <c r="B14" s="41" t="s">
        <v>1474</v>
      </c>
      <c r="C14" s="287"/>
      <c r="D14" s="288">
        <f t="shared" si="1"/>
        <v>0</v>
      </c>
      <c r="E14" s="287"/>
      <c r="F14" s="287"/>
      <c r="G14" s="287"/>
      <c r="H14" s="287"/>
      <c r="I14" s="302"/>
      <c r="J14" s="303">
        <f t="shared" si="2"/>
        <v>0</v>
      </c>
    </row>
    <row r="15" s="106" customFormat="1" ht="20.1" customHeight="1" spans="1:13">
      <c r="A15" s="279" t="s">
        <v>1475</v>
      </c>
      <c r="B15" s="41" t="s">
        <v>1476</v>
      </c>
      <c r="C15" s="287">
        <v>4</v>
      </c>
      <c r="D15" s="288">
        <f t="shared" si="1"/>
        <v>18</v>
      </c>
      <c r="E15" s="287"/>
      <c r="F15" s="287"/>
      <c r="G15" s="287"/>
      <c r="H15" s="287"/>
      <c r="I15" s="302">
        <v>18</v>
      </c>
      <c r="J15" s="303">
        <f t="shared" si="2"/>
        <v>450</v>
      </c>
      <c r="M15" s="106" t="s">
        <v>1477</v>
      </c>
    </row>
    <row r="16" s="106" customFormat="1" ht="20.1" customHeight="1" spans="1:10">
      <c r="A16" s="279" t="s">
        <v>1478</v>
      </c>
      <c r="B16" s="41" t="s">
        <v>1479</v>
      </c>
      <c r="C16" s="287">
        <v>9</v>
      </c>
      <c r="D16" s="288">
        <f t="shared" si="1"/>
        <v>45</v>
      </c>
      <c r="E16" s="287">
        <v>30</v>
      </c>
      <c r="F16" s="287"/>
      <c r="G16" s="287">
        <v>15</v>
      </c>
      <c r="H16" s="287"/>
      <c r="I16" s="302"/>
      <c r="J16" s="303">
        <f t="shared" si="2"/>
        <v>500</v>
      </c>
    </row>
    <row r="17" s="107" customFormat="1" ht="20.1" customHeight="1" spans="1:10">
      <c r="A17" s="283" t="s">
        <v>508</v>
      </c>
      <c r="B17" s="284" t="s">
        <v>1480</v>
      </c>
      <c r="C17" s="285">
        <f t="shared" ref="C17:I17" si="4">SUM(C18:C25)</f>
        <v>330</v>
      </c>
      <c r="D17" s="285">
        <f t="shared" si="1"/>
        <v>342</v>
      </c>
      <c r="E17" s="285">
        <f t="shared" si="4"/>
        <v>0</v>
      </c>
      <c r="F17" s="285">
        <f t="shared" si="4"/>
        <v>0</v>
      </c>
      <c r="G17" s="285">
        <f t="shared" si="4"/>
        <v>0</v>
      </c>
      <c r="H17" s="285">
        <f t="shared" si="4"/>
        <v>0</v>
      </c>
      <c r="I17" s="285">
        <f t="shared" si="4"/>
        <v>342</v>
      </c>
      <c r="J17" s="299">
        <f t="shared" si="2"/>
        <v>103.64</v>
      </c>
    </row>
    <row r="18" s="106" customFormat="1" ht="20.1" customHeight="1" spans="1:10">
      <c r="A18" s="279" t="s">
        <v>1481</v>
      </c>
      <c r="B18" s="286" t="s">
        <v>1458</v>
      </c>
      <c r="C18" s="287">
        <v>287</v>
      </c>
      <c r="D18" s="288">
        <f t="shared" si="1"/>
        <v>275</v>
      </c>
      <c r="E18" s="287"/>
      <c r="F18" s="287"/>
      <c r="G18" s="287"/>
      <c r="H18" s="287"/>
      <c r="I18" s="302">
        <v>275</v>
      </c>
      <c r="J18" s="303">
        <f t="shared" si="2"/>
        <v>95.82</v>
      </c>
    </row>
    <row r="19" s="106" customFormat="1" ht="20.1" customHeight="1" spans="1:10">
      <c r="A19" s="279" t="s">
        <v>1482</v>
      </c>
      <c r="B19" s="286" t="s">
        <v>1460</v>
      </c>
      <c r="C19" s="287">
        <v>20</v>
      </c>
      <c r="D19" s="288">
        <f t="shared" si="1"/>
        <v>0</v>
      </c>
      <c r="E19" s="287"/>
      <c r="F19" s="287"/>
      <c r="G19" s="287"/>
      <c r="H19" s="287"/>
      <c r="I19" s="302"/>
      <c r="J19" s="303">
        <f t="shared" si="2"/>
        <v>-100</v>
      </c>
    </row>
    <row r="20" s="106" customFormat="1" ht="20.1" customHeight="1" spans="1:10">
      <c r="A20" s="279" t="s">
        <v>1483</v>
      </c>
      <c r="B20" s="289" t="s">
        <v>1462</v>
      </c>
      <c r="C20" s="287"/>
      <c r="D20" s="288">
        <f t="shared" si="1"/>
        <v>0</v>
      </c>
      <c r="E20" s="287"/>
      <c r="F20" s="287"/>
      <c r="G20" s="287"/>
      <c r="H20" s="287"/>
      <c r="I20" s="302"/>
      <c r="J20" s="303">
        <f t="shared" si="2"/>
        <v>0</v>
      </c>
    </row>
    <row r="21" s="106" customFormat="1" ht="20.1" customHeight="1" spans="1:10">
      <c r="A21" s="279" t="s">
        <v>1484</v>
      </c>
      <c r="B21" s="289" t="s">
        <v>1485</v>
      </c>
      <c r="C21" s="287">
        <v>21</v>
      </c>
      <c r="D21" s="288">
        <f t="shared" si="1"/>
        <v>21</v>
      </c>
      <c r="E21" s="287"/>
      <c r="F21" s="287"/>
      <c r="G21" s="287"/>
      <c r="H21" s="287"/>
      <c r="I21" s="302">
        <v>21</v>
      </c>
      <c r="J21" s="303">
        <f t="shared" si="2"/>
        <v>100</v>
      </c>
    </row>
    <row r="22" s="106" customFormat="1" ht="20.1" customHeight="1" spans="1:10">
      <c r="A22" s="279" t="s">
        <v>1486</v>
      </c>
      <c r="B22" s="289" t="s">
        <v>1487</v>
      </c>
      <c r="C22" s="287"/>
      <c r="D22" s="288">
        <f t="shared" si="1"/>
        <v>36</v>
      </c>
      <c r="E22" s="287"/>
      <c r="F22" s="287"/>
      <c r="G22" s="287"/>
      <c r="H22" s="287"/>
      <c r="I22" s="302">
        <v>36</v>
      </c>
      <c r="J22" s="303">
        <f t="shared" si="2"/>
        <v>100</v>
      </c>
    </row>
    <row r="23" s="106" customFormat="1" ht="20.1" customHeight="1" spans="1:10">
      <c r="A23" s="279" t="s">
        <v>1488</v>
      </c>
      <c r="B23" s="289" t="s">
        <v>1489</v>
      </c>
      <c r="C23" s="287">
        <v>2</v>
      </c>
      <c r="D23" s="288">
        <f t="shared" si="1"/>
        <v>0</v>
      </c>
      <c r="E23" s="287"/>
      <c r="F23" s="287"/>
      <c r="G23" s="287"/>
      <c r="H23" s="287"/>
      <c r="I23" s="302"/>
      <c r="J23" s="303">
        <f t="shared" si="2"/>
        <v>-100</v>
      </c>
    </row>
    <row r="24" s="106" customFormat="1" ht="20.1" customHeight="1" spans="1:10">
      <c r="A24" s="279" t="s">
        <v>1490</v>
      </c>
      <c r="B24" s="289" t="s">
        <v>1476</v>
      </c>
      <c r="C24" s="287"/>
      <c r="D24" s="288">
        <f t="shared" si="1"/>
        <v>0</v>
      </c>
      <c r="E24" s="287"/>
      <c r="F24" s="287"/>
      <c r="G24" s="287"/>
      <c r="H24" s="287"/>
      <c r="I24" s="302"/>
      <c r="J24" s="303">
        <f t="shared" si="2"/>
        <v>0</v>
      </c>
    </row>
    <row r="25" s="106" customFormat="1" ht="20.1" customHeight="1" spans="1:10">
      <c r="A25" s="279" t="s">
        <v>1491</v>
      </c>
      <c r="B25" s="289" t="s">
        <v>1492</v>
      </c>
      <c r="C25" s="287"/>
      <c r="D25" s="288">
        <f t="shared" si="1"/>
        <v>10</v>
      </c>
      <c r="E25" s="287"/>
      <c r="F25" s="287"/>
      <c r="G25" s="287"/>
      <c r="H25" s="287"/>
      <c r="I25" s="302">
        <v>10</v>
      </c>
      <c r="J25" s="303">
        <f t="shared" si="2"/>
        <v>100</v>
      </c>
    </row>
    <row r="26" s="107" customFormat="1" ht="20.1" customHeight="1" spans="1:10">
      <c r="A26" s="283" t="s">
        <v>509</v>
      </c>
      <c r="B26" s="284" t="s">
        <v>1493</v>
      </c>
      <c r="C26" s="285">
        <f t="shared" ref="C26:I26" si="5">SUM(C27:C35)</f>
        <v>10503</v>
      </c>
      <c r="D26" s="285">
        <f t="shared" si="1"/>
        <v>10212</v>
      </c>
      <c r="E26" s="285">
        <f t="shared" si="5"/>
        <v>0</v>
      </c>
      <c r="F26" s="285">
        <f t="shared" si="5"/>
        <v>0</v>
      </c>
      <c r="G26" s="285">
        <f t="shared" si="5"/>
        <v>0</v>
      </c>
      <c r="H26" s="285">
        <f t="shared" si="5"/>
        <v>0</v>
      </c>
      <c r="I26" s="285">
        <f t="shared" si="5"/>
        <v>10212</v>
      </c>
      <c r="J26" s="299">
        <f t="shared" si="2"/>
        <v>97.23</v>
      </c>
    </row>
    <row r="27" s="106" customFormat="1" ht="20.1" customHeight="1" spans="1:10">
      <c r="A27" s="279" t="s">
        <v>1494</v>
      </c>
      <c r="B27" s="286" t="s">
        <v>1458</v>
      </c>
      <c r="C27" s="287">
        <v>6563</v>
      </c>
      <c r="D27" s="288">
        <f t="shared" si="1"/>
        <v>6022</v>
      </c>
      <c r="E27" s="287"/>
      <c r="F27" s="287"/>
      <c r="G27" s="287"/>
      <c r="H27" s="287"/>
      <c r="I27" s="302">
        <v>6022</v>
      </c>
      <c r="J27" s="303">
        <f t="shared" si="2"/>
        <v>91.76</v>
      </c>
    </row>
    <row r="28" s="106" customFormat="1" ht="20.1" customHeight="1" spans="1:10">
      <c r="A28" s="279" t="s">
        <v>1495</v>
      </c>
      <c r="B28" s="286" t="s">
        <v>1460</v>
      </c>
      <c r="C28" s="287"/>
      <c r="D28" s="288">
        <f t="shared" si="1"/>
        <v>0</v>
      </c>
      <c r="E28" s="287"/>
      <c r="F28" s="287"/>
      <c r="G28" s="287"/>
      <c r="H28" s="287"/>
      <c r="I28" s="302"/>
      <c r="J28" s="303">
        <f t="shared" si="2"/>
        <v>0</v>
      </c>
    </row>
    <row r="29" s="106" customFormat="1" ht="20.1" customHeight="1" spans="1:10">
      <c r="A29" s="279" t="s">
        <v>1496</v>
      </c>
      <c r="B29" s="289" t="s">
        <v>1462</v>
      </c>
      <c r="C29" s="287">
        <v>980</v>
      </c>
      <c r="D29" s="288">
        <f t="shared" si="1"/>
        <v>837</v>
      </c>
      <c r="E29" s="287"/>
      <c r="F29" s="287"/>
      <c r="G29" s="287"/>
      <c r="H29" s="287"/>
      <c r="I29" s="302">
        <v>837</v>
      </c>
      <c r="J29" s="303">
        <f t="shared" si="2"/>
        <v>85.41</v>
      </c>
    </row>
    <row r="30" s="106" customFormat="1" ht="20.1" customHeight="1" spans="1:10">
      <c r="A30" s="279" t="s">
        <v>1497</v>
      </c>
      <c r="B30" s="289" t="s">
        <v>1498</v>
      </c>
      <c r="C30" s="287"/>
      <c r="D30" s="288">
        <f t="shared" si="1"/>
        <v>0</v>
      </c>
      <c r="E30" s="287"/>
      <c r="F30" s="287"/>
      <c r="G30" s="287"/>
      <c r="H30" s="287"/>
      <c r="I30" s="302"/>
      <c r="J30" s="303">
        <f t="shared" si="2"/>
        <v>0</v>
      </c>
    </row>
    <row r="31" s="106" customFormat="1" ht="20.1" customHeight="1" spans="1:10">
      <c r="A31" s="279" t="s">
        <v>1499</v>
      </c>
      <c r="B31" s="289" t="s">
        <v>1500</v>
      </c>
      <c r="C31" s="287"/>
      <c r="D31" s="288">
        <f t="shared" si="1"/>
        <v>0</v>
      </c>
      <c r="E31" s="287"/>
      <c r="F31" s="287"/>
      <c r="G31" s="287"/>
      <c r="H31" s="287"/>
      <c r="I31" s="302"/>
      <c r="J31" s="303">
        <f t="shared" si="2"/>
        <v>0</v>
      </c>
    </row>
    <row r="32" s="106" customFormat="1" ht="20.1" customHeight="1" spans="1:10">
      <c r="A32" s="279" t="s">
        <v>1501</v>
      </c>
      <c r="B32" s="286" t="s">
        <v>1502</v>
      </c>
      <c r="C32" s="287">
        <v>349</v>
      </c>
      <c r="D32" s="288">
        <f t="shared" si="1"/>
        <v>409</v>
      </c>
      <c r="E32" s="287"/>
      <c r="F32" s="287"/>
      <c r="G32" s="287"/>
      <c r="H32" s="287"/>
      <c r="I32" s="302">
        <v>409</v>
      </c>
      <c r="J32" s="303">
        <f t="shared" si="2"/>
        <v>117.19</v>
      </c>
    </row>
    <row r="33" s="106" customFormat="1" ht="20.1" customHeight="1" spans="1:10">
      <c r="A33" s="279" t="s">
        <v>1503</v>
      </c>
      <c r="B33" s="289" t="s">
        <v>1504</v>
      </c>
      <c r="C33" s="287"/>
      <c r="D33" s="288">
        <f t="shared" si="1"/>
        <v>0</v>
      </c>
      <c r="E33" s="287"/>
      <c r="F33" s="287"/>
      <c r="G33" s="287"/>
      <c r="H33" s="287"/>
      <c r="I33" s="302"/>
      <c r="J33" s="303">
        <f t="shared" si="2"/>
        <v>0</v>
      </c>
    </row>
    <row r="34" s="106" customFormat="1" ht="20.1" customHeight="1" spans="1:10">
      <c r="A34" s="279" t="s">
        <v>1505</v>
      </c>
      <c r="B34" s="289" t="s">
        <v>1476</v>
      </c>
      <c r="C34" s="287">
        <v>2575</v>
      </c>
      <c r="D34" s="288">
        <f t="shared" si="1"/>
        <v>2912</v>
      </c>
      <c r="E34" s="287"/>
      <c r="F34" s="287"/>
      <c r="G34" s="287"/>
      <c r="H34" s="287"/>
      <c r="I34" s="302">
        <v>2912</v>
      </c>
      <c r="J34" s="303">
        <f t="shared" si="2"/>
        <v>113.09</v>
      </c>
    </row>
    <row r="35" s="106" customFormat="1" ht="20.1" customHeight="1" spans="1:10">
      <c r="A35" s="279" t="s">
        <v>1506</v>
      </c>
      <c r="B35" s="289" t="s">
        <v>1507</v>
      </c>
      <c r="C35" s="287">
        <v>36</v>
      </c>
      <c r="D35" s="288">
        <f t="shared" si="1"/>
        <v>32</v>
      </c>
      <c r="E35" s="287"/>
      <c r="F35" s="287"/>
      <c r="G35" s="287"/>
      <c r="H35" s="287"/>
      <c r="I35" s="302">
        <v>32</v>
      </c>
      <c r="J35" s="303">
        <f t="shared" si="2"/>
        <v>88.89</v>
      </c>
    </row>
    <row r="36" s="107" customFormat="1" ht="20.1" customHeight="1" spans="1:10">
      <c r="A36" s="283" t="s">
        <v>510</v>
      </c>
      <c r="B36" s="284" t="s">
        <v>1508</v>
      </c>
      <c r="C36" s="285">
        <f t="shared" ref="C36:I36" si="6">SUM(C37:C46)</f>
        <v>697</v>
      </c>
      <c r="D36" s="285">
        <f t="shared" si="1"/>
        <v>479</v>
      </c>
      <c r="E36" s="285">
        <f t="shared" si="6"/>
        <v>0</v>
      </c>
      <c r="F36" s="285">
        <f t="shared" si="6"/>
        <v>0</v>
      </c>
      <c r="G36" s="285">
        <f t="shared" si="6"/>
        <v>52</v>
      </c>
      <c r="H36" s="285">
        <f t="shared" si="6"/>
        <v>0</v>
      </c>
      <c r="I36" s="285">
        <f t="shared" si="6"/>
        <v>427</v>
      </c>
      <c r="J36" s="299">
        <f t="shared" si="2"/>
        <v>68.72</v>
      </c>
    </row>
    <row r="37" s="106" customFormat="1" ht="20.1" customHeight="1" spans="1:10">
      <c r="A37" s="279" t="s">
        <v>1509</v>
      </c>
      <c r="B37" s="286" t="s">
        <v>1458</v>
      </c>
      <c r="C37" s="287">
        <v>371</v>
      </c>
      <c r="D37" s="288">
        <f t="shared" si="1"/>
        <v>347</v>
      </c>
      <c r="E37" s="287"/>
      <c r="F37" s="287"/>
      <c r="G37" s="287"/>
      <c r="H37" s="287"/>
      <c r="I37" s="302">
        <v>347</v>
      </c>
      <c r="J37" s="303">
        <f t="shared" si="2"/>
        <v>93.53</v>
      </c>
    </row>
    <row r="38" s="106" customFormat="1" ht="20.1" customHeight="1" spans="1:10">
      <c r="A38" s="279" t="s">
        <v>1510</v>
      </c>
      <c r="B38" s="286" t="s">
        <v>1460</v>
      </c>
      <c r="C38" s="287">
        <v>3</v>
      </c>
      <c r="D38" s="288">
        <f t="shared" si="1"/>
        <v>0</v>
      </c>
      <c r="E38" s="287"/>
      <c r="F38" s="287"/>
      <c r="G38" s="287"/>
      <c r="H38" s="287"/>
      <c r="I38" s="302"/>
      <c r="J38" s="303">
        <f t="shared" si="2"/>
        <v>-100</v>
      </c>
    </row>
    <row r="39" s="106" customFormat="1" ht="20.1" customHeight="1" spans="1:10">
      <c r="A39" s="279" t="s">
        <v>1511</v>
      </c>
      <c r="B39" s="289" t="s">
        <v>1462</v>
      </c>
      <c r="C39" s="287"/>
      <c r="D39" s="288">
        <f t="shared" si="1"/>
        <v>0</v>
      </c>
      <c r="E39" s="287"/>
      <c r="F39" s="287"/>
      <c r="G39" s="287"/>
      <c r="H39" s="287"/>
      <c r="I39" s="302"/>
      <c r="J39" s="303">
        <f t="shared" si="2"/>
        <v>0</v>
      </c>
    </row>
    <row r="40" s="106" customFormat="1" ht="20.1" customHeight="1" spans="1:10">
      <c r="A40" s="279" t="s">
        <v>1512</v>
      </c>
      <c r="B40" s="289" t="s">
        <v>1513</v>
      </c>
      <c r="C40" s="287"/>
      <c r="D40" s="288">
        <f t="shared" si="1"/>
        <v>0</v>
      </c>
      <c r="E40" s="287"/>
      <c r="F40" s="287"/>
      <c r="G40" s="287"/>
      <c r="H40" s="287"/>
      <c r="I40" s="302"/>
      <c r="J40" s="303">
        <f t="shared" si="2"/>
        <v>0</v>
      </c>
    </row>
    <row r="41" s="106" customFormat="1" ht="20.1" customHeight="1" spans="1:10">
      <c r="A41" s="279" t="s">
        <v>1514</v>
      </c>
      <c r="B41" s="289" t="s">
        <v>1515</v>
      </c>
      <c r="C41" s="287"/>
      <c r="D41" s="288">
        <f t="shared" si="1"/>
        <v>0</v>
      </c>
      <c r="E41" s="287"/>
      <c r="F41" s="287"/>
      <c r="G41" s="287"/>
      <c r="H41" s="287"/>
      <c r="I41" s="302"/>
      <c r="J41" s="303">
        <f t="shared" si="2"/>
        <v>0</v>
      </c>
    </row>
    <row r="42" s="106" customFormat="1" ht="20.1" customHeight="1" spans="1:10">
      <c r="A42" s="279" t="s">
        <v>1516</v>
      </c>
      <c r="B42" s="286" t="s">
        <v>1517</v>
      </c>
      <c r="C42" s="287"/>
      <c r="D42" s="288">
        <f t="shared" si="1"/>
        <v>0</v>
      </c>
      <c r="E42" s="287"/>
      <c r="F42" s="287"/>
      <c r="G42" s="287"/>
      <c r="H42" s="287"/>
      <c r="I42" s="302"/>
      <c r="J42" s="303">
        <f t="shared" si="2"/>
        <v>0</v>
      </c>
    </row>
    <row r="43" s="106" customFormat="1" ht="20.1" customHeight="1" spans="1:10">
      <c r="A43" s="279" t="s">
        <v>1518</v>
      </c>
      <c r="B43" s="286" t="s">
        <v>1519</v>
      </c>
      <c r="C43" s="287"/>
      <c r="D43" s="288">
        <f t="shared" si="1"/>
        <v>0</v>
      </c>
      <c r="E43" s="287"/>
      <c r="F43" s="287"/>
      <c r="G43" s="287"/>
      <c r="H43" s="287"/>
      <c r="I43" s="302"/>
      <c r="J43" s="303">
        <f t="shared" si="2"/>
        <v>0</v>
      </c>
    </row>
    <row r="44" s="106" customFormat="1" ht="20.1" customHeight="1" spans="1:10">
      <c r="A44" s="279" t="s">
        <v>1520</v>
      </c>
      <c r="B44" s="286" t="s">
        <v>1521</v>
      </c>
      <c r="C44" s="287"/>
      <c r="D44" s="288">
        <f t="shared" si="1"/>
        <v>0</v>
      </c>
      <c r="E44" s="287"/>
      <c r="F44" s="287"/>
      <c r="G44" s="287"/>
      <c r="H44" s="287"/>
      <c r="I44" s="302"/>
      <c r="J44" s="303">
        <f t="shared" si="2"/>
        <v>0</v>
      </c>
    </row>
    <row r="45" s="106" customFormat="1" ht="20.1" customHeight="1" spans="1:10">
      <c r="A45" s="279" t="s">
        <v>1522</v>
      </c>
      <c r="B45" s="286" t="s">
        <v>1476</v>
      </c>
      <c r="C45" s="287">
        <v>56</v>
      </c>
      <c r="D45" s="288">
        <f t="shared" si="1"/>
        <v>80</v>
      </c>
      <c r="E45" s="287"/>
      <c r="F45" s="287"/>
      <c r="G45" s="287"/>
      <c r="H45" s="287"/>
      <c r="I45" s="302">
        <v>80</v>
      </c>
      <c r="J45" s="303">
        <f t="shared" si="2"/>
        <v>142.86</v>
      </c>
    </row>
    <row r="46" s="106" customFormat="1" ht="20.1" customHeight="1" spans="1:10">
      <c r="A46" s="279" t="s">
        <v>1523</v>
      </c>
      <c r="B46" s="289" t="s">
        <v>1524</v>
      </c>
      <c r="C46" s="287">
        <v>267</v>
      </c>
      <c r="D46" s="288">
        <f t="shared" si="1"/>
        <v>52</v>
      </c>
      <c r="E46" s="287"/>
      <c r="F46" s="287"/>
      <c r="G46" s="287">
        <v>52</v>
      </c>
      <c r="H46" s="287"/>
      <c r="I46" s="302"/>
      <c r="J46" s="303">
        <f t="shared" si="2"/>
        <v>19.48</v>
      </c>
    </row>
    <row r="47" s="107" customFormat="1" ht="20.1" customHeight="1" spans="1:10">
      <c r="A47" s="283" t="s">
        <v>511</v>
      </c>
      <c r="B47" s="284" t="s">
        <v>1525</v>
      </c>
      <c r="C47" s="285">
        <f t="shared" ref="C47:I47" si="7">SUM(C48:C57)</f>
        <v>409</v>
      </c>
      <c r="D47" s="285">
        <f t="shared" si="1"/>
        <v>405</v>
      </c>
      <c r="E47" s="285">
        <f t="shared" si="7"/>
        <v>15</v>
      </c>
      <c r="F47" s="285">
        <f t="shared" si="7"/>
        <v>0</v>
      </c>
      <c r="G47" s="285">
        <f t="shared" si="7"/>
        <v>29</v>
      </c>
      <c r="H47" s="285">
        <f t="shared" si="7"/>
        <v>0</v>
      </c>
      <c r="I47" s="285">
        <f t="shared" si="7"/>
        <v>361</v>
      </c>
      <c r="J47" s="299">
        <f t="shared" si="2"/>
        <v>99.02</v>
      </c>
    </row>
    <row r="48" s="106" customFormat="1" ht="20.1" customHeight="1" spans="1:10">
      <c r="A48" s="279" t="s">
        <v>1526</v>
      </c>
      <c r="B48" s="289" t="s">
        <v>1458</v>
      </c>
      <c r="C48" s="287">
        <v>260</v>
      </c>
      <c r="D48" s="288">
        <f t="shared" si="1"/>
        <v>253</v>
      </c>
      <c r="E48" s="287"/>
      <c r="F48" s="287"/>
      <c r="G48" s="287"/>
      <c r="H48" s="287"/>
      <c r="I48" s="302">
        <v>253</v>
      </c>
      <c r="J48" s="303">
        <f t="shared" si="2"/>
        <v>97.31</v>
      </c>
    </row>
    <row r="49" s="106" customFormat="1" ht="20.1" customHeight="1" spans="1:10">
      <c r="A49" s="279" t="s">
        <v>1527</v>
      </c>
      <c r="B49" s="41" t="s">
        <v>1460</v>
      </c>
      <c r="C49" s="287"/>
      <c r="D49" s="288">
        <f t="shared" si="1"/>
        <v>0</v>
      </c>
      <c r="E49" s="287"/>
      <c r="F49" s="287"/>
      <c r="G49" s="287"/>
      <c r="H49" s="287"/>
      <c r="I49" s="302"/>
      <c r="J49" s="303">
        <f t="shared" si="2"/>
        <v>0</v>
      </c>
    </row>
    <row r="50" s="106" customFormat="1" ht="20.1" customHeight="1" spans="1:10">
      <c r="A50" s="279" t="s">
        <v>1528</v>
      </c>
      <c r="B50" s="286" t="s">
        <v>1462</v>
      </c>
      <c r="C50" s="287"/>
      <c r="D50" s="288">
        <f t="shared" si="1"/>
        <v>0</v>
      </c>
      <c r="E50" s="287"/>
      <c r="F50" s="287"/>
      <c r="G50" s="287"/>
      <c r="H50" s="287"/>
      <c r="I50" s="302"/>
      <c r="J50" s="303">
        <f t="shared" si="2"/>
        <v>0</v>
      </c>
    </row>
    <row r="51" s="106" customFormat="1" ht="20.1" customHeight="1" spans="1:10">
      <c r="A51" s="279" t="s">
        <v>1529</v>
      </c>
      <c r="B51" s="286" t="s">
        <v>1530</v>
      </c>
      <c r="C51" s="287"/>
      <c r="D51" s="288">
        <f t="shared" si="1"/>
        <v>0</v>
      </c>
      <c r="E51" s="287"/>
      <c r="F51" s="287"/>
      <c r="G51" s="287"/>
      <c r="H51" s="287"/>
      <c r="I51" s="302"/>
      <c r="J51" s="303">
        <f t="shared" si="2"/>
        <v>0</v>
      </c>
    </row>
    <row r="52" s="106" customFormat="1" ht="20.1" customHeight="1" spans="1:10">
      <c r="A52" s="279" t="s">
        <v>1531</v>
      </c>
      <c r="B52" s="286" t="s">
        <v>1532</v>
      </c>
      <c r="C52" s="287">
        <v>41</v>
      </c>
      <c r="D52" s="288">
        <f t="shared" si="1"/>
        <v>41</v>
      </c>
      <c r="E52" s="287"/>
      <c r="F52" s="287"/>
      <c r="G52" s="287"/>
      <c r="H52" s="287"/>
      <c r="I52" s="302">
        <v>41</v>
      </c>
      <c r="J52" s="303">
        <f t="shared" si="2"/>
        <v>100</v>
      </c>
    </row>
    <row r="53" s="106" customFormat="1" ht="20.1" customHeight="1" spans="1:10">
      <c r="A53" s="279" t="s">
        <v>1533</v>
      </c>
      <c r="B53" s="289" t="s">
        <v>1534</v>
      </c>
      <c r="C53" s="287">
        <v>60</v>
      </c>
      <c r="D53" s="288">
        <f t="shared" si="1"/>
        <v>73</v>
      </c>
      <c r="E53" s="287">
        <v>15</v>
      </c>
      <c r="F53" s="287"/>
      <c r="G53" s="287">
        <v>23</v>
      </c>
      <c r="H53" s="287"/>
      <c r="I53" s="302">
        <v>35</v>
      </c>
      <c r="J53" s="303">
        <f t="shared" si="2"/>
        <v>121.67</v>
      </c>
    </row>
    <row r="54" s="106" customFormat="1" ht="20.1" customHeight="1" spans="1:10">
      <c r="A54" s="279" t="s">
        <v>1535</v>
      </c>
      <c r="B54" s="289" t="s">
        <v>1536</v>
      </c>
      <c r="C54" s="287">
        <v>16</v>
      </c>
      <c r="D54" s="288">
        <f t="shared" si="1"/>
        <v>6</v>
      </c>
      <c r="E54" s="287"/>
      <c r="F54" s="287"/>
      <c r="G54" s="287">
        <v>6</v>
      </c>
      <c r="H54" s="287"/>
      <c r="I54" s="302"/>
      <c r="J54" s="303">
        <f t="shared" si="2"/>
        <v>37.5</v>
      </c>
    </row>
    <row r="55" s="106" customFormat="1" ht="20.1" customHeight="1" spans="1:10">
      <c r="A55" s="279" t="s">
        <v>1537</v>
      </c>
      <c r="B55" s="289" t="s">
        <v>1538</v>
      </c>
      <c r="C55" s="287">
        <v>32</v>
      </c>
      <c r="D55" s="288">
        <f t="shared" si="1"/>
        <v>32</v>
      </c>
      <c r="E55" s="287"/>
      <c r="F55" s="287"/>
      <c r="G55" s="287"/>
      <c r="H55" s="287"/>
      <c r="I55" s="302">
        <v>32</v>
      </c>
      <c r="J55" s="303">
        <f t="shared" si="2"/>
        <v>100</v>
      </c>
    </row>
    <row r="56" s="106" customFormat="1" ht="20.1" customHeight="1" spans="1:10">
      <c r="A56" s="279" t="s">
        <v>1539</v>
      </c>
      <c r="B56" s="286" t="s">
        <v>1476</v>
      </c>
      <c r="C56" s="287"/>
      <c r="D56" s="288">
        <f t="shared" si="1"/>
        <v>0</v>
      </c>
      <c r="E56" s="287"/>
      <c r="F56" s="287"/>
      <c r="G56" s="287"/>
      <c r="H56" s="287"/>
      <c r="I56" s="302"/>
      <c r="J56" s="303">
        <f t="shared" si="2"/>
        <v>0</v>
      </c>
    </row>
    <row r="57" s="106" customFormat="1" ht="20.1" customHeight="1" spans="1:10">
      <c r="A57" s="279" t="s">
        <v>1540</v>
      </c>
      <c r="B57" s="286" t="s">
        <v>1541</v>
      </c>
      <c r="C57" s="287"/>
      <c r="D57" s="288">
        <f t="shared" si="1"/>
        <v>0</v>
      </c>
      <c r="E57" s="287"/>
      <c r="F57" s="287"/>
      <c r="G57" s="287"/>
      <c r="H57" s="287"/>
      <c r="I57" s="302"/>
      <c r="J57" s="303">
        <f t="shared" si="2"/>
        <v>0</v>
      </c>
    </row>
    <row r="58" s="107" customFormat="1" ht="20.1" customHeight="1" spans="1:10">
      <c r="A58" s="283" t="s">
        <v>512</v>
      </c>
      <c r="B58" s="284" t="s">
        <v>1542</v>
      </c>
      <c r="C58" s="285">
        <f t="shared" ref="C58:I58" si="8">SUM(C59:C68)</f>
        <v>724</v>
      </c>
      <c r="D58" s="285">
        <f t="shared" si="1"/>
        <v>849</v>
      </c>
      <c r="E58" s="285">
        <f t="shared" si="8"/>
        <v>0</v>
      </c>
      <c r="F58" s="285">
        <f t="shared" si="8"/>
        <v>0</v>
      </c>
      <c r="G58" s="285">
        <f t="shared" si="8"/>
        <v>0</v>
      </c>
      <c r="H58" s="285">
        <f t="shared" si="8"/>
        <v>0</v>
      </c>
      <c r="I58" s="285">
        <f t="shared" si="8"/>
        <v>849</v>
      </c>
      <c r="J58" s="299">
        <f t="shared" si="2"/>
        <v>117.27</v>
      </c>
    </row>
    <row r="59" s="106" customFormat="1" ht="20.1" customHeight="1" spans="1:10">
      <c r="A59" s="279" t="s">
        <v>1543</v>
      </c>
      <c r="B59" s="289" t="s">
        <v>1458</v>
      </c>
      <c r="C59" s="287">
        <v>617</v>
      </c>
      <c r="D59" s="288">
        <f t="shared" si="1"/>
        <v>555</v>
      </c>
      <c r="E59" s="287"/>
      <c r="F59" s="287"/>
      <c r="G59" s="287"/>
      <c r="H59" s="287"/>
      <c r="I59" s="302">
        <v>555</v>
      </c>
      <c r="J59" s="303">
        <f t="shared" si="2"/>
        <v>89.95</v>
      </c>
    </row>
    <row r="60" s="106" customFormat="1" ht="20.1" customHeight="1" spans="1:10">
      <c r="A60" s="279" t="s">
        <v>1544</v>
      </c>
      <c r="B60" s="41" t="s">
        <v>1460</v>
      </c>
      <c r="C60" s="287">
        <v>2</v>
      </c>
      <c r="D60" s="288">
        <f t="shared" si="1"/>
        <v>1</v>
      </c>
      <c r="E60" s="287"/>
      <c r="F60" s="287"/>
      <c r="G60" s="287"/>
      <c r="H60" s="287"/>
      <c r="I60" s="302">
        <v>1</v>
      </c>
      <c r="J60" s="303">
        <f t="shared" si="2"/>
        <v>50</v>
      </c>
    </row>
    <row r="61" s="106" customFormat="1" ht="20.1" customHeight="1" spans="1:10">
      <c r="A61" s="279" t="s">
        <v>1545</v>
      </c>
      <c r="B61" s="41" t="s">
        <v>1462</v>
      </c>
      <c r="C61" s="287"/>
      <c r="D61" s="288">
        <f t="shared" si="1"/>
        <v>0</v>
      </c>
      <c r="E61" s="287"/>
      <c r="F61" s="287"/>
      <c r="G61" s="287"/>
      <c r="H61" s="287"/>
      <c r="I61" s="302"/>
      <c r="J61" s="303">
        <f t="shared" si="2"/>
        <v>0</v>
      </c>
    </row>
    <row r="62" s="106" customFormat="1" ht="20.1" customHeight="1" spans="1:10">
      <c r="A62" s="279" t="s">
        <v>1546</v>
      </c>
      <c r="B62" s="41" t="s">
        <v>1547</v>
      </c>
      <c r="C62" s="287">
        <v>34</v>
      </c>
      <c r="D62" s="288">
        <f t="shared" si="1"/>
        <v>50</v>
      </c>
      <c r="E62" s="287"/>
      <c r="F62" s="287"/>
      <c r="G62" s="287"/>
      <c r="H62" s="287"/>
      <c r="I62" s="302">
        <v>50</v>
      </c>
      <c r="J62" s="303">
        <f t="shared" si="2"/>
        <v>147.06</v>
      </c>
    </row>
    <row r="63" s="106" customFormat="1" ht="20.1" customHeight="1" spans="1:10">
      <c r="A63" s="279" t="s">
        <v>1548</v>
      </c>
      <c r="B63" s="41" t="s">
        <v>1549</v>
      </c>
      <c r="C63" s="287">
        <v>13</v>
      </c>
      <c r="D63" s="288">
        <f t="shared" si="1"/>
        <v>22</v>
      </c>
      <c r="E63" s="287"/>
      <c r="F63" s="287"/>
      <c r="G63" s="287"/>
      <c r="H63" s="287"/>
      <c r="I63" s="302">
        <v>22</v>
      </c>
      <c r="J63" s="303">
        <f t="shared" si="2"/>
        <v>169.23</v>
      </c>
    </row>
    <row r="64" s="106" customFormat="1" ht="20.1" customHeight="1" spans="1:10">
      <c r="A64" s="279" t="s">
        <v>1550</v>
      </c>
      <c r="B64" s="41" t="s">
        <v>1551</v>
      </c>
      <c r="C64" s="287"/>
      <c r="D64" s="288">
        <f t="shared" si="1"/>
        <v>0</v>
      </c>
      <c r="E64" s="287"/>
      <c r="F64" s="287"/>
      <c r="G64" s="287"/>
      <c r="H64" s="287"/>
      <c r="I64" s="302"/>
      <c r="J64" s="303">
        <f t="shared" si="2"/>
        <v>0</v>
      </c>
    </row>
    <row r="65" s="106" customFormat="1" ht="20.1" customHeight="1" spans="1:10">
      <c r="A65" s="279" t="s">
        <v>1552</v>
      </c>
      <c r="B65" s="286" t="s">
        <v>1553</v>
      </c>
      <c r="C65" s="287">
        <v>9</v>
      </c>
      <c r="D65" s="288">
        <f t="shared" si="1"/>
        <v>97</v>
      </c>
      <c r="E65" s="287"/>
      <c r="F65" s="287"/>
      <c r="G65" s="287"/>
      <c r="H65" s="287"/>
      <c r="I65" s="302">
        <v>97</v>
      </c>
      <c r="J65" s="303">
        <f t="shared" si="2"/>
        <v>1077.78</v>
      </c>
    </row>
    <row r="66" s="106" customFormat="1" ht="20.1" customHeight="1" spans="1:10">
      <c r="A66" s="279" t="s">
        <v>1554</v>
      </c>
      <c r="B66" s="289" t="s">
        <v>1555</v>
      </c>
      <c r="C66" s="287">
        <v>25</v>
      </c>
      <c r="D66" s="288">
        <f t="shared" si="1"/>
        <v>36</v>
      </c>
      <c r="E66" s="287"/>
      <c r="F66" s="287"/>
      <c r="G66" s="287"/>
      <c r="H66" s="287"/>
      <c r="I66" s="302">
        <v>36</v>
      </c>
      <c r="J66" s="303">
        <f t="shared" si="2"/>
        <v>144</v>
      </c>
    </row>
    <row r="67" s="106" customFormat="1" ht="20.1" customHeight="1" spans="1:10">
      <c r="A67" s="279" t="s">
        <v>1556</v>
      </c>
      <c r="B67" s="289" t="s">
        <v>1476</v>
      </c>
      <c r="C67" s="287">
        <v>24</v>
      </c>
      <c r="D67" s="288">
        <f t="shared" si="1"/>
        <v>80</v>
      </c>
      <c r="E67" s="287"/>
      <c r="F67" s="287"/>
      <c r="G67" s="287"/>
      <c r="H67" s="287"/>
      <c r="I67" s="302">
        <v>80</v>
      </c>
      <c r="J67" s="303">
        <f t="shared" si="2"/>
        <v>333.33</v>
      </c>
    </row>
    <row r="68" s="106" customFormat="1" ht="20.1" customHeight="1" spans="1:10">
      <c r="A68" s="279" t="s">
        <v>1557</v>
      </c>
      <c r="B68" s="289" t="s">
        <v>1558</v>
      </c>
      <c r="C68" s="287"/>
      <c r="D68" s="288">
        <f t="shared" ref="D68:D131" si="9">SUM(E68:I68)</f>
        <v>8</v>
      </c>
      <c r="E68" s="287"/>
      <c r="F68" s="287"/>
      <c r="G68" s="287"/>
      <c r="H68" s="287"/>
      <c r="I68" s="302">
        <v>8</v>
      </c>
      <c r="J68" s="303">
        <f t="shared" ref="J68:J73" si="10">ROUND(IF(C68=0,IF(D68=0,0,1),IF(D68=0,-1,D68/C68)),4)*100</f>
        <v>100</v>
      </c>
    </row>
    <row r="69" s="107" customFormat="1" ht="20.1" customHeight="1" spans="1:10">
      <c r="A69" s="283" t="s">
        <v>513</v>
      </c>
      <c r="B69" s="284" t="s">
        <v>1559</v>
      </c>
      <c r="C69" s="285">
        <f t="shared" ref="C69:I69" si="11">SUM(C70:C76)</f>
        <v>371</v>
      </c>
      <c r="D69" s="285">
        <f t="shared" si="9"/>
        <v>308</v>
      </c>
      <c r="E69" s="285">
        <f t="shared" si="11"/>
        <v>0</v>
      </c>
      <c r="F69" s="285">
        <f t="shared" si="11"/>
        <v>0</v>
      </c>
      <c r="G69" s="285">
        <f t="shared" si="11"/>
        <v>0</v>
      </c>
      <c r="H69" s="285">
        <f t="shared" si="11"/>
        <v>0</v>
      </c>
      <c r="I69" s="285">
        <f t="shared" si="11"/>
        <v>308</v>
      </c>
      <c r="J69" s="299">
        <f t="shared" si="10"/>
        <v>83.02</v>
      </c>
    </row>
    <row r="70" s="106" customFormat="1" ht="20.1" customHeight="1" spans="1:10">
      <c r="A70" s="279" t="s">
        <v>1560</v>
      </c>
      <c r="B70" s="286" t="s">
        <v>1458</v>
      </c>
      <c r="C70" s="287"/>
      <c r="D70" s="288">
        <f t="shared" si="9"/>
        <v>0</v>
      </c>
      <c r="E70" s="287"/>
      <c r="F70" s="287"/>
      <c r="G70" s="287"/>
      <c r="H70" s="287"/>
      <c r="I70" s="302"/>
      <c r="J70" s="303">
        <f t="shared" si="10"/>
        <v>0</v>
      </c>
    </row>
    <row r="71" s="106" customFormat="1" ht="20.1" customHeight="1" spans="1:10">
      <c r="A71" s="279" t="s">
        <v>1561</v>
      </c>
      <c r="B71" s="286" t="s">
        <v>1460</v>
      </c>
      <c r="C71" s="287">
        <v>371</v>
      </c>
      <c r="D71" s="288">
        <f t="shared" si="9"/>
        <v>308</v>
      </c>
      <c r="E71" s="287"/>
      <c r="F71" s="287"/>
      <c r="G71" s="287"/>
      <c r="H71" s="287"/>
      <c r="I71" s="302">
        <v>308</v>
      </c>
      <c r="J71" s="303">
        <f t="shared" si="10"/>
        <v>83.02</v>
      </c>
    </row>
    <row r="72" s="106" customFormat="1" ht="20.1" customHeight="1" spans="1:10">
      <c r="A72" s="279" t="s">
        <v>1562</v>
      </c>
      <c r="B72" s="289" t="s">
        <v>1462</v>
      </c>
      <c r="C72" s="287"/>
      <c r="D72" s="288">
        <f t="shared" si="9"/>
        <v>0</v>
      </c>
      <c r="E72" s="287"/>
      <c r="F72" s="287"/>
      <c r="G72" s="287"/>
      <c r="H72" s="287"/>
      <c r="I72" s="302"/>
      <c r="J72" s="303">
        <f t="shared" si="10"/>
        <v>0</v>
      </c>
    </row>
    <row r="73" s="106" customFormat="1" ht="20.1" customHeight="1" spans="1:10">
      <c r="A73" s="279" t="s">
        <v>1563</v>
      </c>
      <c r="B73" s="286" t="s">
        <v>1553</v>
      </c>
      <c r="C73" s="287"/>
      <c r="D73" s="288">
        <f t="shared" si="9"/>
        <v>0</v>
      </c>
      <c r="E73" s="287"/>
      <c r="F73" s="287"/>
      <c r="G73" s="287"/>
      <c r="H73" s="287"/>
      <c r="I73" s="302"/>
      <c r="J73" s="303">
        <f t="shared" si="10"/>
        <v>0</v>
      </c>
    </row>
    <row r="74" s="106" customFormat="1" ht="20.1" customHeight="1" spans="1:10">
      <c r="A74" s="279" t="s">
        <v>1564</v>
      </c>
      <c r="B74" s="286" t="s">
        <v>1565</v>
      </c>
      <c r="C74" s="287"/>
      <c r="D74" s="288">
        <f t="shared" si="9"/>
        <v>0</v>
      </c>
      <c r="E74" s="287"/>
      <c r="F74" s="287"/>
      <c r="G74" s="287"/>
      <c r="H74" s="287"/>
      <c r="I74" s="302"/>
      <c r="J74" s="303"/>
    </row>
    <row r="75" s="106" customFormat="1" ht="20.1" customHeight="1" spans="1:10">
      <c r="A75" s="279" t="s">
        <v>1566</v>
      </c>
      <c r="B75" s="289" t="s">
        <v>1476</v>
      </c>
      <c r="C75" s="287"/>
      <c r="D75" s="288">
        <f t="shared" si="9"/>
        <v>0</v>
      </c>
      <c r="E75" s="287"/>
      <c r="F75" s="287"/>
      <c r="G75" s="287"/>
      <c r="H75" s="287"/>
      <c r="I75" s="302"/>
      <c r="J75" s="303">
        <f t="shared" ref="J75:J138" si="12">ROUND(IF(C75=0,IF(D75=0,0,1),IF(D75=0,-1,D75/C75)),4)*100</f>
        <v>0</v>
      </c>
    </row>
    <row r="76" s="106" customFormat="1" ht="20.1" customHeight="1" spans="1:10">
      <c r="A76" s="279" t="s">
        <v>1567</v>
      </c>
      <c r="B76" s="289" t="s">
        <v>1568</v>
      </c>
      <c r="C76" s="287"/>
      <c r="D76" s="288">
        <f t="shared" si="9"/>
        <v>0</v>
      </c>
      <c r="E76" s="287"/>
      <c r="F76" s="287"/>
      <c r="G76" s="287"/>
      <c r="H76" s="287"/>
      <c r="I76" s="302"/>
      <c r="J76" s="303">
        <f t="shared" si="12"/>
        <v>0</v>
      </c>
    </row>
    <row r="77" s="107" customFormat="1" ht="20.1" customHeight="1" spans="1:10">
      <c r="A77" s="283" t="s">
        <v>514</v>
      </c>
      <c r="B77" s="284" t="s">
        <v>1569</v>
      </c>
      <c r="C77" s="285">
        <f t="shared" ref="C77:I77" si="13">SUM(C78:C85)</f>
        <v>225</v>
      </c>
      <c r="D77" s="285">
        <f t="shared" si="9"/>
        <v>208</v>
      </c>
      <c r="E77" s="285">
        <f t="shared" si="13"/>
        <v>3</v>
      </c>
      <c r="F77" s="285">
        <f t="shared" si="13"/>
        <v>0</v>
      </c>
      <c r="G77" s="285">
        <f t="shared" si="13"/>
        <v>0</v>
      </c>
      <c r="H77" s="285">
        <f t="shared" si="13"/>
        <v>0</v>
      </c>
      <c r="I77" s="285">
        <f t="shared" si="13"/>
        <v>205</v>
      </c>
      <c r="J77" s="299">
        <f t="shared" si="12"/>
        <v>92.44</v>
      </c>
    </row>
    <row r="78" s="106" customFormat="1" ht="20.1" customHeight="1" spans="1:10">
      <c r="A78" s="279" t="s">
        <v>1570</v>
      </c>
      <c r="B78" s="286" t="s">
        <v>1458</v>
      </c>
      <c r="C78" s="287">
        <v>223</v>
      </c>
      <c r="D78" s="288">
        <f t="shared" si="9"/>
        <v>204</v>
      </c>
      <c r="E78" s="287"/>
      <c r="F78" s="287"/>
      <c r="G78" s="287"/>
      <c r="H78" s="287"/>
      <c r="I78" s="302">
        <v>204</v>
      </c>
      <c r="J78" s="303">
        <f t="shared" si="12"/>
        <v>91.48</v>
      </c>
    </row>
    <row r="79" s="106" customFormat="1" ht="20.1" customHeight="1" spans="1:10">
      <c r="A79" s="279" t="s">
        <v>1571</v>
      </c>
      <c r="B79" s="286" t="s">
        <v>1460</v>
      </c>
      <c r="C79" s="287"/>
      <c r="D79" s="288">
        <f t="shared" si="9"/>
        <v>0</v>
      </c>
      <c r="E79" s="287"/>
      <c r="F79" s="287"/>
      <c r="G79" s="287"/>
      <c r="H79" s="287"/>
      <c r="I79" s="302"/>
      <c r="J79" s="303">
        <f t="shared" si="12"/>
        <v>0</v>
      </c>
    </row>
    <row r="80" s="106" customFormat="1" ht="20.1" customHeight="1" spans="1:10">
      <c r="A80" s="279" t="s">
        <v>1572</v>
      </c>
      <c r="B80" s="286" t="s">
        <v>1462</v>
      </c>
      <c r="C80" s="287"/>
      <c r="D80" s="288">
        <f t="shared" si="9"/>
        <v>0</v>
      </c>
      <c r="E80" s="287"/>
      <c r="F80" s="287"/>
      <c r="G80" s="287"/>
      <c r="H80" s="287"/>
      <c r="I80" s="302"/>
      <c r="J80" s="303">
        <f t="shared" si="12"/>
        <v>0</v>
      </c>
    </row>
    <row r="81" s="106" customFormat="1" ht="20.1" customHeight="1" spans="1:10">
      <c r="A81" s="279" t="s">
        <v>1573</v>
      </c>
      <c r="B81" s="289" t="s">
        <v>1574</v>
      </c>
      <c r="C81" s="287"/>
      <c r="D81" s="288">
        <f t="shared" si="9"/>
        <v>1</v>
      </c>
      <c r="E81" s="287"/>
      <c r="F81" s="287"/>
      <c r="G81" s="287"/>
      <c r="H81" s="287"/>
      <c r="I81" s="302">
        <v>1</v>
      </c>
      <c r="J81" s="303">
        <f t="shared" si="12"/>
        <v>100</v>
      </c>
    </row>
    <row r="82" s="106" customFormat="1" ht="20.1" customHeight="1" spans="1:10">
      <c r="A82" s="279" t="s">
        <v>1575</v>
      </c>
      <c r="B82" s="289" t="s">
        <v>1576</v>
      </c>
      <c r="C82" s="287"/>
      <c r="D82" s="288">
        <f t="shared" si="9"/>
        <v>0</v>
      </c>
      <c r="E82" s="287"/>
      <c r="F82" s="287"/>
      <c r="G82" s="287"/>
      <c r="H82" s="287"/>
      <c r="I82" s="302"/>
      <c r="J82" s="303">
        <f t="shared" si="12"/>
        <v>0</v>
      </c>
    </row>
    <row r="83" s="106" customFormat="1" ht="20.1" customHeight="1" spans="1:10">
      <c r="A83" s="279" t="s">
        <v>1577</v>
      </c>
      <c r="B83" s="289" t="s">
        <v>1553</v>
      </c>
      <c r="C83" s="287"/>
      <c r="D83" s="288">
        <f t="shared" si="9"/>
        <v>0</v>
      </c>
      <c r="E83" s="287"/>
      <c r="F83" s="287"/>
      <c r="G83" s="287"/>
      <c r="H83" s="287"/>
      <c r="I83" s="302"/>
      <c r="J83" s="303">
        <f t="shared" si="12"/>
        <v>0</v>
      </c>
    </row>
    <row r="84" s="106" customFormat="1" ht="20.1" customHeight="1" spans="1:10">
      <c r="A84" s="279" t="s">
        <v>1578</v>
      </c>
      <c r="B84" s="289" t="s">
        <v>1476</v>
      </c>
      <c r="C84" s="287"/>
      <c r="D84" s="288">
        <f t="shared" si="9"/>
        <v>0</v>
      </c>
      <c r="E84" s="287"/>
      <c r="F84" s="287"/>
      <c r="G84" s="287"/>
      <c r="H84" s="287"/>
      <c r="I84" s="302"/>
      <c r="J84" s="303">
        <f t="shared" si="12"/>
        <v>0</v>
      </c>
    </row>
    <row r="85" s="106" customFormat="1" ht="20.1" customHeight="1" spans="1:10">
      <c r="A85" s="279" t="s">
        <v>1579</v>
      </c>
      <c r="B85" s="41" t="s">
        <v>1580</v>
      </c>
      <c r="C85" s="287">
        <v>2</v>
      </c>
      <c r="D85" s="288">
        <f t="shared" si="9"/>
        <v>3</v>
      </c>
      <c r="E85" s="287">
        <v>3</v>
      </c>
      <c r="F85" s="287"/>
      <c r="G85" s="287"/>
      <c r="H85" s="287"/>
      <c r="I85" s="302"/>
      <c r="J85" s="303">
        <f t="shared" si="12"/>
        <v>150</v>
      </c>
    </row>
    <row r="86" s="107" customFormat="1" ht="20.1" customHeight="1" spans="1:10">
      <c r="A86" s="283" t="s">
        <v>515</v>
      </c>
      <c r="B86" s="284" t="s">
        <v>1581</v>
      </c>
      <c r="C86" s="285">
        <v>0</v>
      </c>
      <c r="D86" s="285">
        <f t="shared" si="9"/>
        <v>0</v>
      </c>
      <c r="E86" s="285">
        <f t="shared" ref="E86:H86" si="14">SUM(E87:E98)</f>
        <v>0</v>
      </c>
      <c r="F86" s="285">
        <f t="shared" si="14"/>
        <v>0</v>
      </c>
      <c r="G86" s="285">
        <f>VLOOKUP(A86,[1]√表四、2025年公共财政支出变动表!$A$8:$S$221,18,FALSE)</f>
        <v>0</v>
      </c>
      <c r="H86" s="285">
        <f t="shared" si="14"/>
        <v>0</v>
      </c>
      <c r="I86" s="285"/>
      <c r="J86" s="299">
        <f t="shared" si="12"/>
        <v>0</v>
      </c>
    </row>
    <row r="87" s="106" customFormat="1" ht="20.1" customHeight="1" spans="1:10">
      <c r="A87" s="279" t="s">
        <v>1582</v>
      </c>
      <c r="B87" s="286" t="s">
        <v>1458</v>
      </c>
      <c r="C87" s="287">
        <v>0</v>
      </c>
      <c r="D87" s="288">
        <f t="shared" si="9"/>
        <v>0</v>
      </c>
      <c r="E87" s="287"/>
      <c r="F87" s="287"/>
      <c r="G87" s="287"/>
      <c r="H87" s="287"/>
      <c r="I87" s="302"/>
      <c r="J87" s="303">
        <f t="shared" si="12"/>
        <v>0</v>
      </c>
    </row>
    <row r="88" s="106" customFormat="1" ht="20.1" customHeight="1" spans="1:10">
      <c r="A88" s="279" t="s">
        <v>1583</v>
      </c>
      <c r="B88" s="289" t="s">
        <v>1460</v>
      </c>
      <c r="C88" s="287">
        <v>0</v>
      </c>
      <c r="D88" s="288">
        <f t="shared" si="9"/>
        <v>0</v>
      </c>
      <c r="E88" s="287"/>
      <c r="F88" s="287"/>
      <c r="G88" s="287"/>
      <c r="H88" s="287"/>
      <c r="I88" s="302"/>
      <c r="J88" s="303">
        <f t="shared" si="12"/>
        <v>0</v>
      </c>
    </row>
    <row r="89" s="106" customFormat="1" ht="20.1" customHeight="1" spans="1:10">
      <c r="A89" s="279" t="s">
        <v>1584</v>
      </c>
      <c r="B89" s="289" t="s">
        <v>1462</v>
      </c>
      <c r="C89" s="287">
        <v>0</v>
      </c>
      <c r="D89" s="288">
        <f t="shared" si="9"/>
        <v>0</v>
      </c>
      <c r="E89" s="287"/>
      <c r="F89" s="287"/>
      <c r="G89" s="287"/>
      <c r="H89" s="287"/>
      <c r="I89" s="302"/>
      <c r="J89" s="303">
        <f t="shared" si="12"/>
        <v>0</v>
      </c>
    </row>
    <row r="90" s="106" customFormat="1" ht="20.1" customHeight="1" spans="1:10">
      <c r="A90" s="279" t="s">
        <v>1585</v>
      </c>
      <c r="B90" s="286" t="s">
        <v>1586</v>
      </c>
      <c r="C90" s="287">
        <v>0</v>
      </c>
      <c r="D90" s="288">
        <f t="shared" si="9"/>
        <v>0</v>
      </c>
      <c r="E90" s="287"/>
      <c r="F90" s="287"/>
      <c r="G90" s="287"/>
      <c r="H90" s="287"/>
      <c r="I90" s="302"/>
      <c r="J90" s="303">
        <f t="shared" si="12"/>
        <v>0</v>
      </c>
    </row>
    <row r="91" s="106" customFormat="1" ht="20.1" customHeight="1" spans="1:10">
      <c r="A91" s="279" t="s">
        <v>1587</v>
      </c>
      <c r="B91" s="286" t="s">
        <v>1588</v>
      </c>
      <c r="C91" s="287">
        <v>0</v>
      </c>
      <c r="D91" s="288">
        <f t="shared" si="9"/>
        <v>0</v>
      </c>
      <c r="E91" s="287"/>
      <c r="F91" s="287"/>
      <c r="G91" s="287"/>
      <c r="H91" s="287"/>
      <c r="I91" s="302"/>
      <c r="J91" s="303">
        <f t="shared" si="12"/>
        <v>0</v>
      </c>
    </row>
    <row r="92" s="106" customFormat="1" ht="20.1" customHeight="1" spans="1:10">
      <c r="A92" s="279" t="s">
        <v>1589</v>
      </c>
      <c r="B92" s="286" t="s">
        <v>1553</v>
      </c>
      <c r="C92" s="287">
        <v>0</v>
      </c>
      <c r="D92" s="288">
        <f t="shared" si="9"/>
        <v>0</v>
      </c>
      <c r="E92" s="287"/>
      <c r="F92" s="287"/>
      <c r="G92" s="287"/>
      <c r="H92" s="287"/>
      <c r="I92" s="302"/>
      <c r="J92" s="303">
        <f t="shared" si="12"/>
        <v>0</v>
      </c>
    </row>
    <row r="93" s="106" customFormat="1" ht="20.1" customHeight="1" spans="1:10">
      <c r="A93" s="279" t="s">
        <v>1590</v>
      </c>
      <c r="B93" s="286" t="s">
        <v>1591</v>
      </c>
      <c r="C93" s="287">
        <v>0</v>
      </c>
      <c r="D93" s="288">
        <f t="shared" si="9"/>
        <v>0</v>
      </c>
      <c r="E93" s="287"/>
      <c r="F93" s="287"/>
      <c r="G93" s="287"/>
      <c r="H93" s="287"/>
      <c r="I93" s="302"/>
      <c r="J93" s="303">
        <f t="shared" si="12"/>
        <v>0</v>
      </c>
    </row>
    <row r="94" s="106" customFormat="1" ht="20.1" customHeight="1" spans="1:10">
      <c r="A94" s="279" t="s">
        <v>1592</v>
      </c>
      <c r="B94" s="286" t="s">
        <v>1593</v>
      </c>
      <c r="C94" s="287">
        <v>0</v>
      </c>
      <c r="D94" s="288">
        <f t="shared" si="9"/>
        <v>0</v>
      </c>
      <c r="E94" s="287"/>
      <c r="F94" s="287"/>
      <c r="G94" s="287"/>
      <c r="H94" s="287"/>
      <c r="I94" s="302"/>
      <c r="J94" s="303">
        <f t="shared" si="12"/>
        <v>0</v>
      </c>
    </row>
    <row r="95" s="106" customFormat="1" ht="20.1" customHeight="1" spans="1:10">
      <c r="A95" s="279" t="s">
        <v>1594</v>
      </c>
      <c r="B95" s="286" t="s">
        <v>1595</v>
      </c>
      <c r="C95" s="287">
        <v>0</v>
      </c>
      <c r="D95" s="288">
        <f t="shared" si="9"/>
        <v>0</v>
      </c>
      <c r="E95" s="287"/>
      <c r="F95" s="287"/>
      <c r="G95" s="287"/>
      <c r="H95" s="287"/>
      <c r="I95" s="302"/>
      <c r="J95" s="303">
        <f t="shared" si="12"/>
        <v>0</v>
      </c>
    </row>
    <row r="96" s="106" customFormat="1" ht="20.1" customHeight="1" spans="1:10">
      <c r="A96" s="279" t="s">
        <v>1596</v>
      </c>
      <c r="B96" s="286" t="s">
        <v>1597</v>
      </c>
      <c r="C96" s="287">
        <v>0</v>
      </c>
      <c r="D96" s="288">
        <f t="shared" si="9"/>
        <v>0</v>
      </c>
      <c r="E96" s="287"/>
      <c r="F96" s="287"/>
      <c r="G96" s="287"/>
      <c r="H96" s="287"/>
      <c r="I96" s="302"/>
      <c r="J96" s="303">
        <f t="shared" si="12"/>
        <v>0</v>
      </c>
    </row>
    <row r="97" s="106" customFormat="1" ht="20.1" customHeight="1" spans="1:10">
      <c r="A97" s="279" t="s">
        <v>1598</v>
      </c>
      <c r="B97" s="289" t="s">
        <v>1476</v>
      </c>
      <c r="C97" s="287">
        <v>0</v>
      </c>
      <c r="D97" s="288">
        <f t="shared" si="9"/>
        <v>0</v>
      </c>
      <c r="E97" s="287"/>
      <c r="F97" s="287"/>
      <c r="G97" s="287"/>
      <c r="H97" s="287"/>
      <c r="I97" s="302"/>
      <c r="J97" s="303">
        <f t="shared" si="12"/>
        <v>0</v>
      </c>
    </row>
    <row r="98" s="106" customFormat="1" ht="20.1" customHeight="1" spans="1:10">
      <c r="A98" s="279" t="s">
        <v>1599</v>
      </c>
      <c r="B98" s="289" t="s">
        <v>1600</v>
      </c>
      <c r="C98" s="287">
        <v>0</v>
      </c>
      <c r="D98" s="288">
        <f t="shared" si="9"/>
        <v>0</v>
      </c>
      <c r="E98" s="287"/>
      <c r="F98" s="287"/>
      <c r="G98" s="287"/>
      <c r="H98" s="287"/>
      <c r="I98" s="302"/>
      <c r="J98" s="303">
        <f t="shared" si="12"/>
        <v>0</v>
      </c>
    </row>
    <row r="99" s="107" customFormat="1" ht="20.1" customHeight="1" spans="1:10">
      <c r="A99" s="283" t="s">
        <v>516</v>
      </c>
      <c r="B99" s="284" t="s">
        <v>1601</v>
      </c>
      <c r="C99" s="285">
        <f t="shared" ref="C99:I99" si="15">SUM(C100:C107)</f>
        <v>1790</v>
      </c>
      <c r="D99" s="285">
        <f t="shared" si="9"/>
        <v>1660</v>
      </c>
      <c r="E99" s="285">
        <f t="shared" si="15"/>
        <v>30</v>
      </c>
      <c r="F99" s="285">
        <f t="shared" si="15"/>
        <v>0</v>
      </c>
      <c r="G99" s="285">
        <f t="shared" si="15"/>
        <v>47</v>
      </c>
      <c r="H99" s="285">
        <f t="shared" si="15"/>
        <v>0</v>
      </c>
      <c r="I99" s="285">
        <f t="shared" si="15"/>
        <v>1583</v>
      </c>
      <c r="J99" s="299">
        <f t="shared" si="12"/>
        <v>92.74</v>
      </c>
    </row>
    <row r="100" s="106" customFormat="1" ht="20.1" customHeight="1" spans="1:10">
      <c r="A100" s="279" t="s">
        <v>1602</v>
      </c>
      <c r="B100" s="286" t="s">
        <v>1458</v>
      </c>
      <c r="C100" s="287">
        <v>1186</v>
      </c>
      <c r="D100" s="288">
        <f t="shared" si="9"/>
        <v>1254</v>
      </c>
      <c r="E100" s="287"/>
      <c r="F100" s="287"/>
      <c r="G100" s="287"/>
      <c r="H100" s="287"/>
      <c r="I100" s="302">
        <v>1254</v>
      </c>
      <c r="J100" s="303">
        <f t="shared" si="12"/>
        <v>105.73</v>
      </c>
    </row>
    <row r="101" s="106" customFormat="1" ht="20.1" customHeight="1" spans="1:10">
      <c r="A101" s="279" t="s">
        <v>1603</v>
      </c>
      <c r="B101" s="286" t="s">
        <v>1460</v>
      </c>
      <c r="C101" s="287"/>
      <c r="D101" s="288">
        <f t="shared" si="9"/>
        <v>0</v>
      </c>
      <c r="E101" s="287"/>
      <c r="F101" s="287"/>
      <c r="G101" s="287"/>
      <c r="H101" s="287"/>
      <c r="I101" s="302"/>
      <c r="J101" s="303">
        <f t="shared" si="12"/>
        <v>0</v>
      </c>
    </row>
    <row r="102" s="106" customFormat="1" ht="20.1" customHeight="1" spans="1:10">
      <c r="A102" s="279" t="s">
        <v>1604</v>
      </c>
      <c r="B102" s="286" t="s">
        <v>1462</v>
      </c>
      <c r="C102" s="287"/>
      <c r="D102" s="288">
        <f t="shared" si="9"/>
        <v>0</v>
      </c>
      <c r="E102" s="287"/>
      <c r="F102" s="287"/>
      <c r="G102" s="287"/>
      <c r="H102" s="287"/>
      <c r="I102" s="302"/>
      <c r="J102" s="303">
        <f t="shared" si="12"/>
        <v>0</v>
      </c>
    </row>
    <row r="103" s="106" customFormat="1" ht="20.1" customHeight="1" spans="1:10">
      <c r="A103" s="279" t="s">
        <v>1605</v>
      </c>
      <c r="B103" s="289" t="s">
        <v>1606</v>
      </c>
      <c r="C103" s="287">
        <v>3</v>
      </c>
      <c r="D103" s="288">
        <f t="shared" si="9"/>
        <v>67</v>
      </c>
      <c r="E103" s="287">
        <v>30</v>
      </c>
      <c r="F103" s="287"/>
      <c r="G103" s="287">
        <v>37</v>
      </c>
      <c r="H103" s="287"/>
      <c r="I103" s="302"/>
      <c r="J103" s="303">
        <f t="shared" si="12"/>
        <v>2233.33</v>
      </c>
    </row>
    <row r="104" s="106" customFormat="1" ht="20.1" customHeight="1" spans="1:10">
      <c r="A104" s="279" t="s">
        <v>1607</v>
      </c>
      <c r="B104" s="289" t="s">
        <v>1608</v>
      </c>
      <c r="C104" s="287"/>
      <c r="D104" s="288">
        <f t="shared" si="9"/>
        <v>0</v>
      </c>
      <c r="E104" s="287"/>
      <c r="F104" s="287"/>
      <c r="G104" s="287"/>
      <c r="H104" s="287"/>
      <c r="I104" s="302"/>
      <c r="J104" s="303">
        <f t="shared" si="12"/>
        <v>0</v>
      </c>
    </row>
    <row r="105" s="106" customFormat="1" ht="20.1" customHeight="1" spans="1:10">
      <c r="A105" s="279" t="s">
        <v>1609</v>
      </c>
      <c r="B105" s="289" t="s">
        <v>1610</v>
      </c>
      <c r="C105" s="287"/>
      <c r="D105" s="288">
        <f t="shared" si="9"/>
        <v>0</v>
      </c>
      <c r="E105" s="287"/>
      <c r="F105" s="287"/>
      <c r="G105" s="287"/>
      <c r="H105" s="287"/>
      <c r="I105" s="302"/>
      <c r="J105" s="303">
        <f t="shared" si="12"/>
        <v>0</v>
      </c>
    </row>
    <row r="106" s="106" customFormat="1" ht="20.1" customHeight="1" spans="1:10">
      <c r="A106" s="279" t="s">
        <v>1611</v>
      </c>
      <c r="B106" s="286" t="s">
        <v>1476</v>
      </c>
      <c r="C106" s="287"/>
      <c r="D106" s="288">
        <f t="shared" si="9"/>
        <v>0</v>
      </c>
      <c r="E106" s="287"/>
      <c r="F106" s="287"/>
      <c r="G106" s="287"/>
      <c r="H106" s="287"/>
      <c r="I106" s="302"/>
      <c r="J106" s="303">
        <f t="shared" si="12"/>
        <v>0</v>
      </c>
    </row>
    <row r="107" s="106" customFormat="1" ht="20.1" customHeight="1" spans="1:10">
      <c r="A107" s="279" t="s">
        <v>1612</v>
      </c>
      <c r="B107" s="286" t="s">
        <v>1613</v>
      </c>
      <c r="C107" s="287">
        <v>601</v>
      </c>
      <c r="D107" s="288">
        <f t="shared" si="9"/>
        <v>339</v>
      </c>
      <c r="E107" s="287"/>
      <c r="F107" s="287"/>
      <c r="G107" s="287">
        <v>10</v>
      </c>
      <c r="H107" s="287"/>
      <c r="I107" s="302">
        <v>329</v>
      </c>
      <c r="J107" s="303">
        <f t="shared" si="12"/>
        <v>56.41</v>
      </c>
    </row>
    <row r="108" s="107" customFormat="1" ht="20.1" customHeight="1" spans="1:10">
      <c r="A108" s="283" t="s">
        <v>517</v>
      </c>
      <c r="B108" s="284" t="s">
        <v>1614</v>
      </c>
      <c r="C108" s="285">
        <f t="shared" ref="C108:I108" si="16">SUM(C109:C118)</f>
        <v>139</v>
      </c>
      <c r="D108" s="285">
        <f t="shared" si="9"/>
        <v>148</v>
      </c>
      <c r="E108" s="285">
        <f t="shared" si="16"/>
        <v>0</v>
      </c>
      <c r="F108" s="285">
        <f t="shared" si="16"/>
        <v>0</v>
      </c>
      <c r="G108" s="285">
        <f t="shared" si="16"/>
        <v>0</v>
      </c>
      <c r="H108" s="285">
        <f t="shared" si="16"/>
        <v>0</v>
      </c>
      <c r="I108" s="285">
        <f t="shared" si="16"/>
        <v>148</v>
      </c>
      <c r="J108" s="299">
        <f t="shared" si="12"/>
        <v>106.47</v>
      </c>
    </row>
    <row r="109" s="106" customFormat="1" ht="20.1" customHeight="1" spans="1:10">
      <c r="A109" s="279" t="s">
        <v>1615</v>
      </c>
      <c r="B109" s="286" t="s">
        <v>1458</v>
      </c>
      <c r="C109" s="287">
        <v>130</v>
      </c>
      <c r="D109" s="288">
        <f t="shared" si="9"/>
        <v>128</v>
      </c>
      <c r="E109" s="287"/>
      <c r="F109" s="287"/>
      <c r="G109" s="287"/>
      <c r="H109" s="287"/>
      <c r="I109" s="302">
        <v>128</v>
      </c>
      <c r="J109" s="303">
        <f t="shared" si="12"/>
        <v>98.46</v>
      </c>
    </row>
    <row r="110" s="106" customFormat="1" ht="20.1" customHeight="1" spans="1:10">
      <c r="A110" s="279" t="s">
        <v>1616</v>
      </c>
      <c r="B110" s="286" t="s">
        <v>1460</v>
      </c>
      <c r="C110" s="287"/>
      <c r="D110" s="288">
        <f t="shared" si="9"/>
        <v>0</v>
      </c>
      <c r="E110" s="287"/>
      <c r="F110" s="287"/>
      <c r="G110" s="287"/>
      <c r="H110" s="287"/>
      <c r="I110" s="302"/>
      <c r="J110" s="303">
        <f t="shared" si="12"/>
        <v>0</v>
      </c>
    </row>
    <row r="111" s="106" customFormat="1" ht="20.1" customHeight="1" spans="1:10">
      <c r="A111" s="279" t="s">
        <v>1617</v>
      </c>
      <c r="B111" s="286" t="s">
        <v>1462</v>
      </c>
      <c r="C111" s="287"/>
      <c r="D111" s="288">
        <f t="shared" si="9"/>
        <v>0</v>
      </c>
      <c r="E111" s="287"/>
      <c r="F111" s="287"/>
      <c r="G111" s="287"/>
      <c r="H111" s="287"/>
      <c r="I111" s="302"/>
      <c r="J111" s="303">
        <f t="shared" si="12"/>
        <v>0</v>
      </c>
    </row>
    <row r="112" s="106" customFormat="1" ht="20.1" customHeight="1" spans="1:10">
      <c r="A112" s="279" t="s">
        <v>1618</v>
      </c>
      <c r="B112" s="289" t="s">
        <v>1619</v>
      </c>
      <c r="C112" s="287"/>
      <c r="D112" s="288">
        <f t="shared" si="9"/>
        <v>0</v>
      </c>
      <c r="E112" s="287"/>
      <c r="F112" s="287"/>
      <c r="G112" s="287"/>
      <c r="H112" s="287"/>
      <c r="I112" s="302"/>
      <c r="J112" s="303">
        <f t="shared" si="12"/>
        <v>0</v>
      </c>
    </row>
    <row r="113" s="106" customFormat="1" ht="20.1" customHeight="1" spans="1:10">
      <c r="A113" s="279" t="s">
        <v>1620</v>
      </c>
      <c r="B113" s="289" t="s">
        <v>1621</v>
      </c>
      <c r="C113" s="287"/>
      <c r="D113" s="288">
        <f t="shared" si="9"/>
        <v>0</v>
      </c>
      <c r="E113" s="287"/>
      <c r="F113" s="287"/>
      <c r="G113" s="287"/>
      <c r="H113" s="287"/>
      <c r="I113" s="302"/>
      <c r="J113" s="303">
        <f t="shared" si="12"/>
        <v>0</v>
      </c>
    </row>
    <row r="114" s="106" customFormat="1" ht="20.1" customHeight="1" spans="1:10">
      <c r="A114" s="279" t="s">
        <v>1622</v>
      </c>
      <c r="B114" s="289" t="s">
        <v>1623</v>
      </c>
      <c r="C114" s="287"/>
      <c r="D114" s="288">
        <f t="shared" si="9"/>
        <v>0</v>
      </c>
      <c r="E114" s="287"/>
      <c r="F114" s="287"/>
      <c r="G114" s="287"/>
      <c r="H114" s="287"/>
      <c r="I114" s="302"/>
      <c r="J114" s="303">
        <f t="shared" si="12"/>
        <v>0</v>
      </c>
    </row>
    <row r="115" s="106" customFormat="1" ht="20.1" customHeight="1" spans="1:10">
      <c r="A115" s="279" t="s">
        <v>1624</v>
      </c>
      <c r="B115" s="286" t="s">
        <v>1625</v>
      </c>
      <c r="C115" s="287"/>
      <c r="D115" s="288">
        <f t="shared" si="9"/>
        <v>0</v>
      </c>
      <c r="E115" s="287"/>
      <c r="F115" s="287"/>
      <c r="G115" s="287"/>
      <c r="H115" s="287"/>
      <c r="I115" s="302"/>
      <c r="J115" s="303">
        <f t="shared" si="12"/>
        <v>0</v>
      </c>
    </row>
    <row r="116" s="106" customFormat="1" ht="20.1" customHeight="1" spans="1:10">
      <c r="A116" s="279" t="s">
        <v>1626</v>
      </c>
      <c r="B116" s="286" t="s">
        <v>1627</v>
      </c>
      <c r="C116" s="287">
        <v>9</v>
      </c>
      <c r="D116" s="288">
        <f t="shared" si="9"/>
        <v>20</v>
      </c>
      <c r="E116" s="287"/>
      <c r="F116" s="287"/>
      <c r="G116" s="287"/>
      <c r="H116" s="287"/>
      <c r="I116" s="302">
        <v>20</v>
      </c>
      <c r="J116" s="303">
        <f t="shared" si="12"/>
        <v>222.22</v>
      </c>
    </row>
    <row r="117" s="106" customFormat="1" ht="20.1" customHeight="1" spans="1:10">
      <c r="A117" s="279" t="s">
        <v>1628</v>
      </c>
      <c r="B117" s="286" t="s">
        <v>1476</v>
      </c>
      <c r="C117" s="287"/>
      <c r="D117" s="288">
        <f t="shared" si="9"/>
        <v>0</v>
      </c>
      <c r="E117" s="287"/>
      <c r="F117" s="287"/>
      <c r="G117" s="287"/>
      <c r="H117" s="287"/>
      <c r="I117" s="302"/>
      <c r="J117" s="303">
        <f t="shared" si="12"/>
        <v>0</v>
      </c>
    </row>
    <row r="118" s="106" customFormat="1" ht="20.1" customHeight="1" spans="1:10">
      <c r="A118" s="279" t="s">
        <v>1629</v>
      </c>
      <c r="B118" s="289" t="s">
        <v>1630</v>
      </c>
      <c r="C118" s="287"/>
      <c r="D118" s="288">
        <f t="shared" si="9"/>
        <v>0</v>
      </c>
      <c r="E118" s="287"/>
      <c r="F118" s="287"/>
      <c r="G118" s="287"/>
      <c r="H118" s="287"/>
      <c r="I118" s="302"/>
      <c r="J118" s="303">
        <f t="shared" si="12"/>
        <v>0</v>
      </c>
    </row>
    <row r="119" s="107" customFormat="1" ht="20.1" customHeight="1" spans="1:10">
      <c r="A119" s="283" t="s">
        <v>518</v>
      </c>
      <c r="B119" s="284" t="s">
        <v>1631</v>
      </c>
      <c r="C119" s="285">
        <f t="shared" ref="C119:I119" si="17">SUM(C120:C130)</f>
        <v>0</v>
      </c>
      <c r="D119" s="285">
        <f t="shared" si="9"/>
        <v>0</v>
      </c>
      <c r="E119" s="285">
        <f t="shared" si="17"/>
        <v>0</v>
      </c>
      <c r="F119" s="285">
        <f t="shared" si="17"/>
        <v>0</v>
      </c>
      <c r="G119" s="285">
        <f t="shared" si="17"/>
        <v>0</v>
      </c>
      <c r="H119" s="285">
        <f t="shared" si="17"/>
        <v>0</v>
      </c>
      <c r="I119" s="285">
        <f t="shared" si="17"/>
        <v>0</v>
      </c>
      <c r="J119" s="299">
        <f t="shared" si="12"/>
        <v>0</v>
      </c>
    </row>
    <row r="120" s="106" customFormat="1" ht="20.1" customHeight="1" spans="1:10">
      <c r="A120" s="279" t="s">
        <v>1632</v>
      </c>
      <c r="B120" s="289" t="s">
        <v>1458</v>
      </c>
      <c r="C120" s="287">
        <v>0</v>
      </c>
      <c r="D120" s="288">
        <f t="shared" si="9"/>
        <v>0</v>
      </c>
      <c r="E120" s="287"/>
      <c r="F120" s="287"/>
      <c r="G120" s="287"/>
      <c r="H120" s="287"/>
      <c r="I120" s="302"/>
      <c r="J120" s="303">
        <f t="shared" si="12"/>
        <v>0</v>
      </c>
    </row>
    <row r="121" s="106" customFormat="1" ht="20.1" customHeight="1" spans="1:10">
      <c r="A121" s="279" t="s">
        <v>1633</v>
      </c>
      <c r="B121" s="41" t="s">
        <v>1460</v>
      </c>
      <c r="C121" s="287">
        <v>0</v>
      </c>
      <c r="D121" s="288">
        <f t="shared" si="9"/>
        <v>0</v>
      </c>
      <c r="E121" s="287"/>
      <c r="F121" s="287"/>
      <c r="G121" s="287"/>
      <c r="H121" s="287"/>
      <c r="I121" s="302"/>
      <c r="J121" s="303">
        <f t="shared" si="12"/>
        <v>0</v>
      </c>
    </row>
    <row r="122" s="106" customFormat="1" ht="20.1" customHeight="1" spans="1:10">
      <c r="A122" s="279" t="s">
        <v>1634</v>
      </c>
      <c r="B122" s="286" t="s">
        <v>1462</v>
      </c>
      <c r="C122" s="287">
        <v>0</v>
      </c>
      <c r="D122" s="288">
        <f t="shared" si="9"/>
        <v>0</v>
      </c>
      <c r="E122" s="287"/>
      <c r="F122" s="287"/>
      <c r="G122" s="287"/>
      <c r="H122" s="287"/>
      <c r="I122" s="302"/>
      <c r="J122" s="303">
        <f t="shared" si="12"/>
        <v>0</v>
      </c>
    </row>
    <row r="123" s="106" customFormat="1" ht="20.1" customHeight="1" spans="1:10">
      <c r="A123" s="279" t="s">
        <v>1635</v>
      </c>
      <c r="B123" s="286" t="s">
        <v>1636</v>
      </c>
      <c r="C123" s="287">
        <v>0</v>
      </c>
      <c r="D123" s="288">
        <f t="shared" si="9"/>
        <v>0</v>
      </c>
      <c r="E123" s="287"/>
      <c r="F123" s="287"/>
      <c r="G123" s="287"/>
      <c r="H123" s="287"/>
      <c r="I123" s="302"/>
      <c r="J123" s="303">
        <f t="shared" si="12"/>
        <v>0</v>
      </c>
    </row>
    <row r="124" s="106" customFormat="1" ht="20.1" customHeight="1" spans="1:10">
      <c r="A124" s="279" t="s">
        <v>1637</v>
      </c>
      <c r="B124" s="286" t="s">
        <v>1638</v>
      </c>
      <c r="C124" s="287">
        <v>0</v>
      </c>
      <c r="D124" s="288">
        <f t="shared" si="9"/>
        <v>0</v>
      </c>
      <c r="E124" s="287"/>
      <c r="F124" s="287"/>
      <c r="G124" s="287"/>
      <c r="H124" s="287"/>
      <c r="I124" s="302"/>
      <c r="J124" s="303">
        <f t="shared" si="12"/>
        <v>0</v>
      </c>
    </row>
    <row r="125" s="106" customFormat="1" ht="20.1" customHeight="1" spans="1:10">
      <c r="A125" s="279" t="s">
        <v>1639</v>
      </c>
      <c r="B125" s="289" t="s">
        <v>1640</v>
      </c>
      <c r="C125" s="287">
        <v>0</v>
      </c>
      <c r="D125" s="288">
        <f t="shared" si="9"/>
        <v>0</v>
      </c>
      <c r="E125" s="287"/>
      <c r="F125" s="287"/>
      <c r="G125" s="287"/>
      <c r="H125" s="287"/>
      <c r="I125" s="302"/>
      <c r="J125" s="303">
        <f t="shared" si="12"/>
        <v>0</v>
      </c>
    </row>
    <row r="126" s="106" customFormat="1" ht="20.1" customHeight="1" spans="1:10">
      <c r="A126" s="279" t="s">
        <v>1641</v>
      </c>
      <c r="B126" s="286" t="s">
        <v>1642</v>
      </c>
      <c r="C126" s="287">
        <v>0</v>
      </c>
      <c r="D126" s="288">
        <f t="shared" si="9"/>
        <v>0</v>
      </c>
      <c r="E126" s="287"/>
      <c r="F126" s="287"/>
      <c r="G126" s="287"/>
      <c r="H126" s="287"/>
      <c r="I126" s="302"/>
      <c r="J126" s="303">
        <f t="shared" si="12"/>
        <v>0</v>
      </c>
    </row>
    <row r="127" s="106" customFormat="1" ht="20.1" customHeight="1" spans="1:10">
      <c r="A127" s="279" t="s">
        <v>1643</v>
      </c>
      <c r="B127" s="286" t="s">
        <v>1644</v>
      </c>
      <c r="C127" s="287">
        <v>0</v>
      </c>
      <c r="D127" s="288">
        <f t="shared" si="9"/>
        <v>0</v>
      </c>
      <c r="E127" s="287"/>
      <c r="F127" s="287"/>
      <c r="G127" s="287"/>
      <c r="H127" s="287"/>
      <c r="I127" s="302"/>
      <c r="J127" s="303">
        <f t="shared" si="12"/>
        <v>0</v>
      </c>
    </row>
    <row r="128" s="106" customFormat="1" ht="20.1" customHeight="1" spans="1:10">
      <c r="A128" s="279" t="s">
        <v>1645</v>
      </c>
      <c r="B128" s="286" t="s">
        <v>1646</v>
      </c>
      <c r="C128" s="287">
        <v>0</v>
      </c>
      <c r="D128" s="288">
        <f t="shared" si="9"/>
        <v>0</v>
      </c>
      <c r="E128" s="287"/>
      <c r="F128" s="287"/>
      <c r="G128" s="287"/>
      <c r="H128" s="287"/>
      <c r="I128" s="302"/>
      <c r="J128" s="303">
        <f t="shared" si="12"/>
        <v>0</v>
      </c>
    </row>
    <row r="129" s="106" customFormat="1" ht="20.1" customHeight="1" spans="1:10">
      <c r="A129" s="279" t="s">
        <v>1647</v>
      </c>
      <c r="B129" s="286" t="s">
        <v>1476</v>
      </c>
      <c r="C129" s="287">
        <v>0</v>
      </c>
      <c r="D129" s="288">
        <f t="shared" si="9"/>
        <v>0</v>
      </c>
      <c r="E129" s="287"/>
      <c r="F129" s="287"/>
      <c r="G129" s="287"/>
      <c r="H129" s="287"/>
      <c r="I129" s="302"/>
      <c r="J129" s="303">
        <f t="shared" si="12"/>
        <v>0</v>
      </c>
    </row>
    <row r="130" s="106" customFormat="1" ht="20.1" customHeight="1" spans="1:10">
      <c r="A130" s="279" t="s">
        <v>1648</v>
      </c>
      <c r="B130" s="286" t="s">
        <v>1649</v>
      </c>
      <c r="C130" s="287">
        <v>0</v>
      </c>
      <c r="D130" s="288">
        <f t="shared" si="9"/>
        <v>0</v>
      </c>
      <c r="E130" s="287"/>
      <c r="F130" s="287"/>
      <c r="G130" s="287"/>
      <c r="H130" s="287"/>
      <c r="I130" s="302"/>
      <c r="J130" s="303">
        <f t="shared" si="12"/>
        <v>0</v>
      </c>
    </row>
    <row r="131" s="107" customFormat="1" ht="20.1" customHeight="1" spans="1:10">
      <c r="A131" s="283" t="s">
        <v>519</v>
      </c>
      <c r="B131" s="284" t="s">
        <v>1650</v>
      </c>
      <c r="C131" s="285">
        <f t="shared" ref="C131:I131" si="18">SUM(C132:C137)</f>
        <v>165</v>
      </c>
      <c r="D131" s="285">
        <f t="shared" si="9"/>
        <v>221</v>
      </c>
      <c r="E131" s="285">
        <f t="shared" si="18"/>
        <v>160</v>
      </c>
      <c r="F131" s="285">
        <f t="shared" si="18"/>
        <v>0</v>
      </c>
      <c r="G131" s="285">
        <f t="shared" si="18"/>
        <v>30</v>
      </c>
      <c r="H131" s="285">
        <f t="shared" si="18"/>
        <v>0</v>
      </c>
      <c r="I131" s="285">
        <f t="shared" si="18"/>
        <v>31</v>
      </c>
      <c r="J131" s="299">
        <f t="shared" si="12"/>
        <v>133.94</v>
      </c>
    </row>
    <row r="132" s="106" customFormat="1" ht="20.1" customHeight="1" spans="1:10">
      <c r="A132" s="279" t="s">
        <v>1651</v>
      </c>
      <c r="B132" s="286" t="s">
        <v>1458</v>
      </c>
      <c r="C132" s="287"/>
      <c r="D132" s="288">
        <f t="shared" ref="D132:D195" si="19">SUM(E132:I132)</f>
        <v>0</v>
      </c>
      <c r="E132" s="287"/>
      <c r="F132" s="287"/>
      <c r="G132" s="287"/>
      <c r="H132" s="287"/>
      <c r="I132" s="302"/>
      <c r="J132" s="303">
        <f t="shared" si="12"/>
        <v>0</v>
      </c>
    </row>
    <row r="133" s="106" customFormat="1" ht="20.1" customHeight="1" spans="1:10">
      <c r="A133" s="279" t="s">
        <v>1652</v>
      </c>
      <c r="B133" s="286" t="s">
        <v>1460</v>
      </c>
      <c r="C133" s="287">
        <v>30</v>
      </c>
      <c r="D133" s="288">
        <f t="shared" si="19"/>
        <v>0</v>
      </c>
      <c r="E133" s="287"/>
      <c r="F133" s="287"/>
      <c r="G133" s="287"/>
      <c r="H133" s="287"/>
      <c r="I133" s="302"/>
      <c r="J133" s="303">
        <f t="shared" si="12"/>
        <v>-100</v>
      </c>
    </row>
    <row r="134" s="106" customFormat="1" ht="20.1" customHeight="1" spans="1:10">
      <c r="A134" s="279" t="s">
        <v>1653</v>
      </c>
      <c r="B134" s="289" t="s">
        <v>1462</v>
      </c>
      <c r="C134" s="287"/>
      <c r="D134" s="288">
        <f t="shared" si="19"/>
        <v>0</v>
      </c>
      <c r="E134" s="287"/>
      <c r="F134" s="287"/>
      <c r="G134" s="287"/>
      <c r="H134" s="287"/>
      <c r="I134" s="302"/>
      <c r="J134" s="303">
        <f t="shared" si="12"/>
        <v>0</v>
      </c>
    </row>
    <row r="135" s="106" customFormat="1" ht="20.1" customHeight="1" spans="1:10">
      <c r="A135" s="279" t="s">
        <v>1654</v>
      </c>
      <c r="B135" s="289" t="s">
        <v>1655</v>
      </c>
      <c r="C135" s="287">
        <v>5</v>
      </c>
      <c r="D135" s="288">
        <f t="shared" si="19"/>
        <v>20</v>
      </c>
      <c r="E135" s="287"/>
      <c r="F135" s="287"/>
      <c r="G135" s="287"/>
      <c r="H135" s="287"/>
      <c r="I135" s="302">
        <v>20</v>
      </c>
      <c r="J135" s="303">
        <f t="shared" si="12"/>
        <v>400</v>
      </c>
    </row>
    <row r="136" s="106" customFormat="1" ht="20.1" customHeight="1" spans="1:10">
      <c r="A136" s="279" t="s">
        <v>1656</v>
      </c>
      <c r="B136" s="289" t="s">
        <v>1476</v>
      </c>
      <c r="C136" s="287"/>
      <c r="D136" s="288">
        <f t="shared" si="19"/>
        <v>0</v>
      </c>
      <c r="E136" s="287"/>
      <c r="F136" s="287"/>
      <c r="G136" s="287"/>
      <c r="H136" s="287"/>
      <c r="I136" s="302"/>
      <c r="J136" s="303">
        <f t="shared" si="12"/>
        <v>0</v>
      </c>
    </row>
    <row r="137" s="106" customFormat="1" ht="20.1" customHeight="1" spans="1:10">
      <c r="A137" s="279" t="s">
        <v>1657</v>
      </c>
      <c r="B137" s="41" t="s">
        <v>1658</v>
      </c>
      <c r="C137" s="287">
        <v>130</v>
      </c>
      <c r="D137" s="288">
        <f t="shared" si="19"/>
        <v>201</v>
      </c>
      <c r="E137" s="287">
        <v>160</v>
      </c>
      <c r="F137" s="287"/>
      <c r="G137" s="287">
        <v>30</v>
      </c>
      <c r="H137" s="287"/>
      <c r="I137" s="302">
        <v>11</v>
      </c>
      <c r="J137" s="303">
        <f t="shared" si="12"/>
        <v>154.62</v>
      </c>
    </row>
    <row r="138" s="107" customFormat="1" ht="20.1" customHeight="1" spans="1:10">
      <c r="A138" s="283" t="s">
        <v>520</v>
      </c>
      <c r="B138" s="284" t="s">
        <v>1659</v>
      </c>
      <c r="C138" s="285">
        <v>0</v>
      </c>
      <c r="D138" s="285">
        <f t="shared" si="19"/>
        <v>0</v>
      </c>
      <c r="E138" s="285">
        <f t="shared" ref="E138:I138" si="20">SUM(E139:E145)</f>
        <v>0</v>
      </c>
      <c r="F138" s="285">
        <f t="shared" si="20"/>
        <v>0</v>
      </c>
      <c r="G138" s="285">
        <f t="shared" si="20"/>
        <v>0</v>
      </c>
      <c r="H138" s="285">
        <f t="shared" si="20"/>
        <v>0</v>
      </c>
      <c r="I138" s="285">
        <f t="shared" si="20"/>
        <v>0</v>
      </c>
      <c r="J138" s="299">
        <f t="shared" si="12"/>
        <v>0</v>
      </c>
    </row>
    <row r="139" s="106" customFormat="1" ht="20.1" customHeight="1" spans="1:10">
      <c r="A139" s="279" t="s">
        <v>1660</v>
      </c>
      <c r="B139" s="286" t="s">
        <v>1458</v>
      </c>
      <c r="C139" s="287">
        <v>0</v>
      </c>
      <c r="D139" s="288">
        <f t="shared" si="19"/>
        <v>0</v>
      </c>
      <c r="E139" s="287"/>
      <c r="F139" s="287"/>
      <c r="G139" s="287"/>
      <c r="H139" s="287"/>
      <c r="I139" s="302"/>
      <c r="J139" s="303">
        <f t="shared" ref="J139:J183" si="21">ROUND(IF(C139=0,IF(D139=0,0,1),IF(D139=0,-1,D139/C139)),4)*100</f>
        <v>0</v>
      </c>
    </row>
    <row r="140" s="106" customFormat="1" ht="20.1" customHeight="1" spans="1:10">
      <c r="A140" s="279" t="s">
        <v>1661</v>
      </c>
      <c r="B140" s="289" t="s">
        <v>1460</v>
      </c>
      <c r="C140" s="287">
        <v>0</v>
      </c>
      <c r="D140" s="288">
        <f t="shared" si="19"/>
        <v>0</v>
      </c>
      <c r="E140" s="287"/>
      <c r="F140" s="287"/>
      <c r="G140" s="287"/>
      <c r="H140" s="287"/>
      <c r="I140" s="302"/>
      <c r="J140" s="303">
        <f t="shared" si="21"/>
        <v>0</v>
      </c>
    </row>
    <row r="141" s="106" customFormat="1" ht="20.1" customHeight="1" spans="1:10">
      <c r="A141" s="279" t="s">
        <v>1662</v>
      </c>
      <c r="B141" s="289" t="s">
        <v>1462</v>
      </c>
      <c r="C141" s="287">
        <v>0</v>
      </c>
      <c r="D141" s="288">
        <f t="shared" si="19"/>
        <v>0</v>
      </c>
      <c r="E141" s="287"/>
      <c r="F141" s="287"/>
      <c r="G141" s="287"/>
      <c r="H141" s="287"/>
      <c r="I141" s="302"/>
      <c r="J141" s="303">
        <f t="shared" si="21"/>
        <v>0</v>
      </c>
    </row>
    <row r="142" s="106" customFormat="1" ht="20.1" customHeight="1" spans="1:10">
      <c r="A142" s="279" t="s">
        <v>1663</v>
      </c>
      <c r="B142" s="289" t="s">
        <v>1664</v>
      </c>
      <c r="C142" s="287">
        <v>0</v>
      </c>
      <c r="D142" s="288">
        <f t="shared" si="19"/>
        <v>0</v>
      </c>
      <c r="E142" s="287"/>
      <c r="F142" s="287"/>
      <c r="G142" s="287"/>
      <c r="H142" s="287"/>
      <c r="I142" s="302"/>
      <c r="J142" s="303">
        <f t="shared" si="21"/>
        <v>0</v>
      </c>
    </row>
    <row r="143" s="106" customFormat="1" ht="20.1" customHeight="1" spans="1:10">
      <c r="A143" s="279" t="s">
        <v>1665</v>
      </c>
      <c r="B143" s="41" t="s">
        <v>1666</v>
      </c>
      <c r="C143" s="287">
        <v>0</v>
      </c>
      <c r="D143" s="288">
        <f t="shared" si="19"/>
        <v>0</v>
      </c>
      <c r="E143" s="287"/>
      <c r="F143" s="287"/>
      <c r="G143" s="287"/>
      <c r="H143" s="287"/>
      <c r="I143" s="302"/>
      <c r="J143" s="303">
        <f t="shared" si="21"/>
        <v>0</v>
      </c>
    </row>
    <row r="144" s="106" customFormat="1" ht="20.1" customHeight="1" spans="1:10">
      <c r="A144" s="279" t="s">
        <v>1667</v>
      </c>
      <c r="B144" s="286" t="s">
        <v>1476</v>
      </c>
      <c r="C144" s="287">
        <v>0</v>
      </c>
      <c r="D144" s="288">
        <f t="shared" si="19"/>
        <v>0</v>
      </c>
      <c r="E144" s="287"/>
      <c r="F144" s="287"/>
      <c r="G144" s="287"/>
      <c r="H144" s="287"/>
      <c r="I144" s="302"/>
      <c r="J144" s="303">
        <f t="shared" si="21"/>
        <v>0</v>
      </c>
    </row>
    <row r="145" s="106" customFormat="1" ht="20.1" customHeight="1" spans="1:10">
      <c r="A145" s="279" t="s">
        <v>1668</v>
      </c>
      <c r="B145" s="286" t="s">
        <v>1669</v>
      </c>
      <c r="C145" s="287">
        <v>0</v>
      </c>
      <c r="D145" s="288">
        <f t="shared" si="19"/>
        <v>0</v>
      </c>
      <c r="E145" s="287"/>
      <c r="F145" s="287"/>
      <c r="G145" s="287"/>
      <c r="H145" s="287"/>
      <c r="I145" s="302"/>
      <c r="J145" s="303">
        <f t="shared" si="21"/>
        <v>0</v>
      </c>
    </row>
    <row r="146" s="107" customFormat="1" ht="20.1" customHeight="1" spans="1:10">
      <c r="A146" s="283" t="s">
        <v>521</v>
      </c>
      <c r="B146" s="284" t="s">
        <v>1670</v>
      </c>
      <c r="C146" s="285">
        <f t="shared" ref="C146:I146" si="22">SUM(C147:C151)</f>
        <v>105</v>
      </c>
      <c r="D146" s="285">
        <f t="shared" si="19"/>
        <v>98</v>
      </c>
      <c r="E146" s="285">
        <f t="shared" si="22"/>
        <v>0</v>
      </c>
      <c r="F146" s="285">
        <f t="shared" si="22"/>
        <v>0</v>
      </c>
      <c r="G146" s="285">
        <f t="shared" si="22"/>
        <v>0</v>
      </c>
      <c r="H146" s="285">
        <f t="shared" si="22"/>
        <v>0</v>
      </c>
      <c r="I146" s="285">
        <f t="shared" si="22"/>
        <v>98</v>
      </c>
      <c r="J146" s="299">
        <f t="shared" si="21"/>
        <v>93.33</v>
      </c>
    </row>
    <row r="147" s="106" customFormat="1" ht="20.25" customHeight="1" spans="1:10">
      <c r="A147" s="279" t="s">
        <v>1671</v>
      </c>
      <c r="B147" s="289" t="s">
        <v>1458</v>
      </c>
      <c r="C147" s="287"/>
      <c r="D147" s="288">
        <f t="shared" si="19"/>
        <v>0</v>
      </c>
      <c r="E147" s="287"/>
      <c r="F147" s="287"/>
      <c r="G147" s="287"/>
      <c r="H147" s="287"/>
      <c r="I147" s="302"/>
      <c r="J147" s="303">
        <f t="shared" si="21"/>
        <v>0</v>
      </c>
    </row>
    <row r="148" s="106" customFormat="1" ht="20.1" customHeight="1" spans="1:10">
      <c r="A148" s="279" t="s">
        <v>1672</v>
      </c>
      <c r="B148" s="289" t="s">
        <v>1460</v>
      </c>
      <c r="C148" s="287">
        <v>94</v>
      </c>
      <c r="D148" s="288">
        <f t="shared" si="19"/>
        <v>87</v>
      </c>
      <c r="E148" s="287"/>
      <c r="F148" s="287"/>
      <c r="G148" s="287"/>
      <c r="H148" s="287"/>
      <c r="I148" s="302">
        <v>87</v>
      </c>
      <c r="J148" s="303">
        <f t="shared" si="21"/>
        <v>92.55</v>
      </c>
    </row>
    <row r="149" s="106" customFormat="1" ht="20.1" customHeight="1" spans="1:10">
      <c r="A149" s="279" t="s">
        <v>1673</v>
      </c>
      <c r="B149" s="286" t="s">
        <v>1462</v>
      </c>
      <c r="C149" s="287"/>
      <c r="D149" s="288">
        <f t="shared" si="19"/>
        <v>0</v>
      </c>
      <c r="E149" s="287"/>
      <c r="F149" s="287"/>
      <c r="G149" s="287"/>
      <c r="H149" s="287"/>
      <c r="I149" s="302"/>
      <c r="J149" s="303">
        <f t="shared" si="21"/>
        <v>0</v>
      </c>
    </row>
    <row r="150" s="106" customFormat="1" ht="20.1" customHeight="1" spans="1:10">
      <c r="A150" s="279" t="s">
        <v>1674</v>
      </c>
      <c r="B150" s="286" t="s">
        <v>1675</v>
      </c>
      <c r="C150" s="287">
        <v>11</v>
      </c>
      <c r="D150" s="288">
        <f t="shared" si="19"/>
        <v>11</v>
      </c>
      <c r="E150" s="287"/>
      <c r="F150" s="287"/>
      <c r="G150" s="287"/>
      <c r="H150" s="287"/>
      <c r="I150" s="302">
        <v>11</v>
      </c>
      <c r="J150" s="303">
        <f t="shared" si="21"/>
        <v>100</v>
      </c>
    </row>
    <row r="151" s="106" customFormat="1" ht="20.1" customHeight="1" spans="1:10">
      <c r="A151" s="279" t="s">
        <v>1676</v>
      </c>
      <c r="B151" s="286" t="s">
        <v>1677</v>
      </c>
      <c r="C151" s="287"/>
      <c r="D151" s="288">
        <f t="shared" si="19"/>
        <v>0</v>
      </c>
      <c r="E151" s="287"/>
      <c r="F151" s="287"/>
      <c r="G151" s="287"/>
      <c r="H151" s="287"/>
      <c r="I151" s="302"/>
      <c r="J151" s="303">
        <f t="shared" si="21"/>
        <v>0</v>
      </c>
    </row>
    <row r="152" s="107" customFormat="1" ht="20.1" customHeight="1" spans="1:10">
      <c r="A152" s="283" t="s">
        <v>522</v>
      </c>
      <c r="B152" s="284" t="s">
        <v>1678</v>
      </c>
      <c r="C152" s="285">
        <f t="shared" ref="C152:I152" si="23">SUM(C153:C158)</f>
        <v>44</v>
      </c>
      <c r="D152" s="285">
        <f t="shared" si="19"/>
        <v>44</v>
      </c>
      <c r="E152" s="285">
        <f t="shared" si="23"/>
        <v>0</v>
      </c>
      <c r="F152" s="285">
        <f t="shared" si="23"/>
        <v>0</v>
      </c>
      <c r="G152" s="285">
        <f t="shared" si="23"/>
        <v>0</v>
      </c>
      <c r="H152" s="285">
        <f t="shared" si="23"/>
        <v>0</v>
      </c>
      <c r="I152" s="285">
        <f t="shared" si="23"/>
        <v>44</v>
      </c>
      <c r="J152" s="299">
        <f t="shared" si="21"/>
        <v>100</v>
      </c>
    </row>
    <row r="153" s="106" customFormat="1" ht="20.1" customHeight="1" spans="1:10">
      <c r="A153" s="279" t="s">
        <v>1679</v>
      </c>
      <c r="B153" s="289" t="s">
        <v>1458</v>
      </c>
      <c r="C153" s="287">
        <v>44</v>
      </c>
      <c r="D153" s="288">
        <f t="shared" si="19"/>
        <v>43</v>
      </c>
      <c r="E153" s="287"/>
      <c r="F153" s="287"/>
      <c r="G153" s="287"/>
      <c r="H153" s="287"/>
      <c r="I153" s="302">
        <v>43</v>
      </c>
      <c r="J153" s="303">
        <f t="shared" si="21"/>
        <v>97.73</v>
      </c>
    </row>
    <row r="154" s="106" customFormat="1" ht="20.1" customHeight="1" spans="1:10">
      <c r="A154" s="279" t="s">
        <v>1680</v>
      </c>
      <c r="B154" s="289" t="s">
        <v>1460</v>
      </c>
      <c r="C154" s="287"/>
      <c r="D154" s="288">
        <f t="shared" si="19"/>
        <v>0</v>
      </c>
      <c r="E154" s="287"/>
      <c r="F154" s="287"/>
      <c r="G154" s="287"/>
      <c r="H154" s="287"/>
      <c r="I154" s="302"/>
      <c r="J154" s="303">
        <f t="shared" si="21"/>
        <v>0</v>
      </c>
    </row>
    <row r="155" s="106" customFormat="1" ht="20.1" customHeight="1" spans="1:10">
      <c r="A155" s="279" t="s">
        <v>1681</v>
      </c>
      <c r="B155" s="41" t="s">
        <v>1462</v>
      </c>
      <c r="C155" s="287"/>
      <c r="D155" s="288">
        <f t="shared" si="19"/>
        <v>1</v>
      </c>
      <c r="E155" s="287"/>
      <c r="F155" s="287"/>
      <c r="G155" s="287"/>
      <c r="H155" s="287"/>
      <c r="I155" s="302">
        <v>1</v>
      </c>
      <c r="J155" s="303">
        <f t="shared" si="21"/>
        <v>100</v>
      </c>
    </row>
    <row r="156" s="106" customFormat="1" ht="20.1" customHeight="1" spans="1:10">
      <c r="A156" s="279" t="s">
        <v>1682</v>
      </c>
      <c r="B156" s="286" t="s">
        <v>1489</v>
      </c>
      <c r="C156" s="287"/>
      <c r="D156" s="288">
        <f t="shared" si="19"/>
        <v>0</v>
      </c>
      <c r="E156" s="287"/>
      <c r="F156" s="287"/>
      <c r="G156" s="287"/>
      <c r="H156" s="287"/>
      <c r="I156" s="302"/>
      <c r="J156" s="303">
        <f t="shared" si="21"/>
        <v>0</v>
      </c>
    </row>
    <row r="157" s="107" customFormat="1" ht="20.1" customHeight="1" spans="1:10">
      <c r="A157" s="279" t="s">
        <v>1683</v>
      </c>
      <c r="B157" s="286" t="s">
        <v>1476</v>
      </c>
      <c r="C157" s="287"/>
      <c r="D157" s="288">
        <f t="shared" si="19"/>
        <v>0</v>
      </c>
      <c r="E157" s="287"/>
      <c r="F157" s="287"/>
      <c r="G157" s="287"/>
      <c r="H157" s="287"/>
      <c r="I157" s="317"/>
      <c r="J157" s="303">
        <f t="shared" si="21"/>
        <v>0</v>
      </c>
    </row>
    <row r="158" s="106" customFormat="1" ht="20.1" customHeight="1" spans="1:10">
      <c r="A158" s="279" t="s">
        <v>1684</v>
      </c>
      <c r="B158" s="286" t="s">
        <v>1685</v>
      </c>
      <c r="C158" s="287"/>
      <c r="D158" s="288">
        <f t="shared" si="19"/>
        <v>0</v>
      </c>
      <c r="E158" s="287"/>
      <c r="F158" s="287"/>
      <c r="G158" s="287"/>
      <c r="H158" s="287"/>
      <c r="I158" s="302"/>
      <c r="J158" s="303">
        <f t="shared" si="21"/>
        <v>0</v>
      </c>
    </row>
    <row r="159" s="107" customFormat="1" ht="20.1" customHeight="1" spans="1:10">
      <c r="A159" s="283" t="s">
        <v>523</v>
      </c>
      <c r="B159" s="284" t="s">
        <v>1686</v>
      </c>
      <c r="C159" s="285">
        <f t="shared" ref="C159:I159" si="24">SUM(C160:C165)</f>
        <v>600</v>
      </c>
      <c r="D159" s="285">
        <f t="shared" si="19"/>
        <v>486</v>
      </c>
      <c r="E159" s="285">
        <f t="shared" si="24"/>
        <v>117</v>
      </c>
      <c r="F159" s="285">
        <f t="shared" si="24"/>
        <v>22</v>
      </c>
      <c r="G159" s="285">
        <f t="shared" si="24"/>
        <v>8</v>
      </c>
      <c r="H159" s="285">
        <f t="shared" si="24"/>
        <v>0</v>
      </c>
      <c r="I159" s="285">
        <f t="shared" si="24"/>
        <v>339</v>
      </c>
      <c r="J159" s="299">
        <f t="shared" si="21"/>
        <v>81</v>
      </c>
    </row>
    <row r="160" s="106" customFormat="1" ht="20.1" customHeight="1" spans="1:10">
      <c r="A160" s="279" t="s">
        <v>1687</v>
      </c>
      <c r="B160" s="289" t="s">
        <v>1458</v>
      </c>
      <c r="C160" s="287">
        <v>192</v>
      </c>
      <c r="D160" s="288">
        <f t="shared" si="19"/>
        <v>189</v>
      </c>
      <c r="E160" s="287"/>
      <c r="F160" s="287"/>
      <c r="G160" s="287"/>
      <c r="H160" s="287"/>
      <c r="I160" s="302">
        <v>189</v>
      </c>
      <c r="J160" s="303">
        <f t="shared" si="21"/>
        <v>98.44</v>
      </c>
    </row>
    <row r="161" s="106" customFormat="1" ht="20.1" customHeight="1" spans="1:10">
      <c r="A161" s="279" t="s">
        <v>1688</v>
      </c>
      <c r="B161" s="289" t="s">
        <v>1460</v>
      </c>
      <c r="C161" s="287">
        <v>285</v>
      </c>
      <c r="D161" s="288">
        <f t="shared" si="19"/>
        <v>222</v>
      </c>
      <c r="E161" s="287">
        <v>117</v>
      </c>
      <c r="F161" s="287">
        <v>3</v>
      </c>
      <c r="G161" s="287">
        <v>6</v>
      </c>
      <c r="H161" s="287"/>
      <c r="I161" s="302">
        <v>96</v>
      </c>
      <c r="J161" s="303">
        <f t="shared" si="21"/>
        <v>77.89</v>
      </c>
    </row>
    <row r="162" s="106" customFormat="1" ht="20.1" customHeight="1" spans="1:10">
      <c r="A162" s="279" t="s">
        <v>1689</v>
      </c>
      <c r="B162" s="286" t="s">
        <v>1462</v>
      </c>
      <c r="C162" s="287"/>
      <c r="D162" s="288">
        <f t="shared" si="19"/>
        <v>0</v>
      </c>
      <c r="E162" s="287"/>
      <c r="F162" s="287"/>
      <c r="G162" s="287"/>
      <c r="H162" s="287"/>
      <c r="I162" s="302"/>
      <c r="J162" s="303">
        <f t="shared" si="21"/>
        <v>0</v>
      </c>
    </row>
    <row r="163" s="106" customFormat="1" ht="20.1" customHeight="1" spans="1:10">
      <c r="A163" s="279" t="s">
        <v>1690</v>
      </c>
      <c r="B163" s="286" t="s">
        <v>1691</v>
      </c>
      <c r="C163" s="287">
        <v>25</v>
      </c>
      <c r="D163" s="288">
        <f t="shared" si="19"/>
        <v>21</v>
      </c>
      <c r="E163" s="287"/>
      <c r="F163" s="287">
        <v>19</v>
      </c>
      <c r="G163" s="287">
        <v>2</v>
      </c>
      <c r="H163" s="287"/>
      <c r="I163" s="302"/>
      <c r="J163" s="303">
        <f t="shared" si="21"/>
        <v>84</v>
      </c>
    </row>
    <row r="164" s="106" customFormat="1" ht="20.25" customHeight="1" spans="1:10">
      <c r="A164" s="279" t="s">
        <v>1692</v>
      </c>
      <c r="B164" s="289" t="s">
        <v>1476</v>
      </c>
      <c r="C164" s="287"/>
      <c r="D164" s="288">
        <f t="shared" si="19"/>
        <v>0</v>
      </c>
      <c r="E164" s="287"/>
      <c r="F164" s="287"/>
      <c r="G164" s="287"/>
      <c r="H164" s="287"/>
      <c r="I164" s="302"/>
      <c r="J164" s="303">
        <f t="shared" si="21"/>
        <v>0</v>
      </c>
    </row>
    <row r="165" s="106" customFormat="1" ht="20.1" customHeight="1" spans="1:10">
      <c r="A165" s="279" t="s">
        <v>1693</v>
      </c>
      <c r="B165" s="289" t="s">
        <v>1694</v>
      </c>
      <c r="C165" s="287">
        <v>98</v>
      </c>
      <c r="D165" s="288">
        <f t="shared" si="19"/>
        <v>54</v>
      </c>
      <c r="E165" s="287"/>
      <c r="F165" s="287"/>
      <c r="G165" s="287"/>
      <c r="H165" s="287"/>
      <c r="I165" s="302">
        <v>54</v>
      </c>
      <c r="J165" s="303">
        <f t="shared" si="21"/>
        <v>55.1</v>
      </c>
    </row>
    <row r="166" s="107" customFormat="1" ht="20.1" customHeight="1" spans="1:10">
      <c r="A166" s="283" t="s">
        <v>524</v>
      </c>
      <c r="B166" s="284" t="s">
        <v>1695</v>
      </c>
      <c r="C166" s="285">
        <f t="shared" ref="C166:I166" si="25">SUM(C167:C172)</f>
        <v>635</v>
      </c>
      <c r="D166" s="285">
        <f t="shared" si="19"/>
        <v>576</v>
      </c>
      <c r="E166" s="285">
        <f t="shared" si="25"/>
        <v>0</v>
      </c>
      <c r="F166" s="285">
        <f t="shared" si="25"/>
        <v>0</v>
      </c>
      <c r="G166" s="285">
        <f t="shared" si="25"/>
        <v>0</v>
      </c>
      <c r="H166" s="285">
        <f t="shared" si="25"/>
        <v>0</v>
      </c>
      <c r="I166" s="285">
        <f t="shared" si="25"/>
        <v>576</v>
      </c>
      <c r="J166" s="299">
        <f t="shared" si="21"/>
        <v>90.71</v>
      </c>
    </row>
    <row r="167" s="106" customFormat="1" ht="20.1" customHeight="1" spans="1:10">
      <c r="A167" s="279" t="s">
        <v>1696</v>
      </c>
      <c r="B167" s="289" t="s">
        <v>1458</v>
      </c>
      <c r="C167" s="287">
        <v>507</v>
      </c>
      <c r="D167" s="288">
        <f t="shared" si="19"/>
        <v>556</v>
      </c>
      <c r="E167" s="287"/>
      <c r="F167" s="287"/>
      <c r="G167" s="287"/>
      <c r="H167" s="287"/>
      <c r="I167" s="302">
        <v>556</v>
      </c>
      <c r="J167" s="303">
        <f t="shared" si="21"/>
        <v>109.66</v>
      </c>
    </row>
    <row r="168" s="106" customFormat="1" ht="20.1" customHeight="1" spans="1:10">
      <c r="A168" s="279" t="s">
        <v>1697</v>
      </c>
      <c r="B168" s="286" t="s">
        <v>1460</v>
      </c>
      <c r="C168" s="287"/>
      <c r="D168" s="288">
        <f t="shared" si="19"/>
        <v>0</v>
      </c>
      <c r="E168" s="287"/>
      <c r="F168" s="287"/>
      <c r="G168" s="287"/>
      <c r="H168" s="287"/>
      <c r="I168" s="302"/>
      <c r="J168" s="303">
        <f t="shared" si="21"/>
        <v>0</v>
      </c>
    </row>
    <row r="169" s="106" customFormat="1" ht="20.1" customHeight="1" spans="1:10">
      <c r="A169" s="279" t="s">
        <v>1698</v>
      </c>
      <c r="B169" s="286" t="s">
        <v>1462</v>
      </c>
      <c r="C169" s="287"/>
      <c r="D169" s="288">
        <f t="shared" si="19"/>
        <v>0</v>
      </c>
      <c r="E169" s="287"/>
      <c r="F169" s="287"/>
      <c r="G169" s="287"/>
      <c r="H169" s="287"/>
      <c r="I169" s="302"/>
      <c r="J169" s="303">
        <f t="shared" si="21"/>
        <v>0</v>
      </c>
    </row>
    <row r="170" s="106" customFormat="1" ht="20.1" customHeight="1" spans="1:10">
      <c r="A170" s="279" t="s">
        <v>1699</v>
      </c>
      <c r="B170" s="286" t="s">
        <v>1700</v>
      </c>
      <c r="C170" s="287"/>
      <c r="D170" s="288">
        <f t="shared" si="19"/>
        <v>0</v>
      </c>
      <c r="E170" s="287"/>
      <c r="F170" s="287"/>
      <c r="G170" s="287"/>
      <c r="H170" s="287"/>
      <c r="I170" s="302"/>
      <c r="J170" s="303">
        <f t="shared" si="21"/>
        <v>0</v>
      </c>
    </row>
    <row r="171" s="106" customFormat="1" ht="20.1" customHeight="1" spans="1:10">
      <c r="A171" s="279" t="s">
        <v>1701</v>
      </c>
      <c r="B171" s="289" t="s">
        <v>1476</v>
      </c>
      <c r="C171" s="287"/>
      <c r="D171" s="288">
        <f t="shared" si="19"/>
        <v>0</v>
      </c>
      <c r="E171" s="287"/>
      <c r="F171" s="287"/>
      <c r="G171" s="287"/>
      <c r="H171" s="287"/>
      <c r="I171" s="302"/>
      <c r="J171" s="303">
        <f t="shared" si="21"/>
        <v>0</v>
      </c>
    </row>
    <row r="172" s="106" customFormat="1" ht="20.1" customHeight="1" spans="1:10">
      <c r="A172" s="279" t="s">
        <v>1702</v>
      </c>
      <c r="B172" s="289" t="s">
        <v>1703</v>
      </c>
      <c r="C172" s="287">
        <v>128</v>
      </c>
      <c r="D172" s="288">
        <f t="shared" si="19"/>
        <v>20</v>
      </c>
      <c r="E172" s="287"/>
      <c r="F172" s="287"/>
      <c r="G172" s="287"/>
      <c r="H172" s="287"/>
      <c r="I172" s="302">
        <v>20</v>
      </c>
      <c r="J172" s="303">
        <f t="shared" si="21"/>
        <v>15.63</v>
      </c>
    </row>
    <row r="173" s="107" customFormat="1" ht="18" customHeight="1" spans="1:10">
      <c r="A173" s="283" t="s">
        <v>525</v>
      </c>
      <c r="B173" s="284" t="s">
        <v>1704</v>
      </c>
      <c r="C173" s="285">
        <f t="shared" ref="C173:I173" si="26">SUM(C174:C179)</f>
        <v>1043</v>
      </c>
      <c r="D173" s="285">
        <f t="shared" si="19"/>
        <v>1548</v>
      </c>
      <c r="E173" s="285">
        <f t="shared" si="26"/>
        <v>0</v>
      </c>
      <c r="F173" s="285">
        <f t="shared" si="26"/>
        <v>47</v>
      </c>
      <c r="G173" s="285">
        <f t="shared" si="26"/>
        <v>506</v>
      </c>
      <c r="H173" s="285">
        <f t="shared" si="26"/>
        <v>0</v>
      </c>
      <c r="I173" s="285">
        <f t="shared" si="26"/>
        <v>995</v>
      </c>
      <c r="J173" s="299">
        <f t="shared" si="21"/>
        <v>148.42</v>
      </c>
    </row>
    <row r="174" s="106" customFormat="1" ht="20.1" customHeight="1" spans="1:10">
      <c r="A174" s="279" t="s">
        <v>1705</v>
      </c>
      <c r="B174" s="286" t="s">
        <v>1458</v>
      </c>
      <c r="C174" s="287">
        <v>422</v>
      </c>
      <c r="D174" s="288">
        <f t="shared" si="19"/>
        <v>462</v>
      </c>
      <c r="E174" s="287"/>
      <c r="F174" s="287"/>
      <c r="G174" s="287"/>
      <c r="H174" s="287"/>
      <c r="I174" s="302">
        <v>462</v>
      </c>
      <c r="J174" s="303">
        <f t="shared" si="21"/>
        <v>109.48</v>
      </c>
    </row>
    <row r="175" s="106" customFormat="1" ht="20.1" customHeight="1" spans="1:10">
      <c r="A175" s="279" t="s">
        <v>1706</v>
      </c>
      <c r="B175" s="286" t="s">
        <v>1460</v>
      </c>
      <c r="C175" s="287">
        <v>213</v>
      </c>
      <c r="D175" s="288">
        <f t="shared" si="19"/>
        <v>173</v>
      </c>
      <c r="E175" s="287"/>
      <c r="F175" s="287">
        <v>47</v>
      </c>
      <c r="G175" s="287">
        <v>8</v>
      </c>
      <c r="H175" s="287"/>
      <c r="I175" s="302">
        <v>118</v>
      </c>
      <c r="J175" s="303">
        <f t="shared" si="21"/>
        <v>81.22</v>
      </c>
    </row>
    <row r="176" s="106" customFormat="1" ht="20.1" customHeight="1" spans="1:10">
      <c r="A176" s="279" t="s">
        <v>1707</v>
      </c>
      <c r="B176" s="286" t="s">
        <v>1462</v>
      </c>
      <c r="C176" s="287"/>
      <c r="D176" s="288">
        <f t="shared" si="19"/>
        <v>0</v>
      </c>
      <c r="E176" s="287"/>
      <c r="F176" s="287"/>
      <c r="G176" s="287"/>
      <c r="H176" s="287"/>
      <c r="I176" s="302"/>
      <c r="J176" s="303">
        <f t="shared" si="21"/>
        <v>0</v>
      </c>
    </row>
    <row r="177" s="106" customFormat="1" ht="20.1" customHeight="1" spans="1:10">
      <c r="A177" s="279" t="s">
        <v>1708</v>
      </c>
      <c r="B177" s="289" t="s">
        <v>1709</v>
      </c>
      <c r="C177" s="287"/>
      <c r="D177" s="288">
        <f t="shared" si="19"/>
        <v>0</v>
      </c>
      <c r="E177" s="287"/>
      <c r="F177" s="287"/>
      <c r="G177" s="287"/>
      <c r="H177" s="287"/>
      <c r="I177" s="302"/>
      <c r="J177" s="303">
        <f t="shared" si="21"/>
        <v>0</v>
      </c>
    </row>
    <row r="178" s="106" customFormat="1" ht="20.1" customHeight="1" spans="1:10">
      <c r="A178" s="279" t="s">
        <v>1710</v>
      </c>
      <c r="B178" s="289" t="s">
        <v>1476</v>
      </c>
      <c r="C178" s="287">
        <v>10</v>
      </c>
      <c r="D178" s="288">
        <f t="shared" si="19"/>
        <v>21</v>
      </c>
      <c r="E178" s="287"/>
      <c r="F178" s="287"/>
      <c r="G178" s="287"/>
      <c r="H178" s="287"/>
      <c r="I178" s="302">
        <v>21</v>
      </c>
      <c r="J178" s="303">
        <f t="shared" si="21"/>
        <v>210</v>
      </c>
    </row>
    <row r="179" s="106" customFormat="1" ht="20.1" customHeight="1" spans="1:10">
      <c r="A179" s="279" t="s">
        <v>1711</v>
      </c>
      <c r="B179" s="289" t="s">
        <v>1712</v>
      </c>
      <c r="C179" s="287">
        <v>398</v>
      </c>
      <c r="D179" s="288">
        <f t="shared" si="19"/>
        <v>892</v>
      </c>
      <c r="E179" s="287"/>
      <c r="F179" s="287"/>
      <c r="G179" s="287">
        <v>498</v>
      </c>
      <c r="H179" s="287"/>
      <c r="I179" s="302">
        <v>394</v>
      </c>
      <c r="J179" s="303">
        <f t="shared" si="21"/>
        <v>224.12</v>
      </c>
    </row>
    <row r="180" s="107" customFormat="1" ht="20.1" customHeight="1" spans="1:10">
      <c r="A180" s="283" t="s">
        <v>526</v>
      </c>
      <c r="B180" s="284" t="s">
        <v>1713</v>
      </c>
      <c r="C180" s="285">
        <f t="shared" ref="C180:I180" si="27">SUM(C181:C186)</f>
        <v>264</v>
      </c>
      <c r="D180" s="285">
        <f t="shared" si="19"/>
        <v>201</v>
      </c>
      <c r="E180" s="285">
        <f t="shared" si="27"/>
        <v>0</v>
      </c>
      <c r="F180" s="285">
        <f t="shared" si="27"/>
        <v>0</v>
      </c>
      <c r="G180" s="285">
        <f t="shared" si="27"/>
        <v>0</v>
      </c>
      <c r="H180" s="285">
        <f t="shared" si="27"/>
        <v>0</v>
      </c>
      <c r="I180" s="285">
        <f t="shared" si="27"/>
        <v>201</v>
      </c>
      <c r="J180" s="299">
        <f t="shared" si="21"/>
        <v>76.14</v>
      </c>
    </row>
    <row r="181" s="106" customFormat="1" ht="20.1" customHeight="1" spans="1:10">
      <c r="A181" s="279" t="s">
        <v>1714</v>
      </c>
      <c r="B181" s="41" t="s">
        <v>1458</v>
      </c>
      <c r="C181" s="287">
        <v>157</v>
      </c>
      <c r="D181" s="288">
        <f t="shared" si="19"/>
        <v>158</v>
      </c>
      <c r="E181" s="287"/>
      <c r="F181" s="287"/>
      <c r="G181" s="287"/>
      <c r="H181" s="287"/>
      <c r="I181" s="302">
        <v>158</v>
      </c>
      <c r="J181" s="303">
        <f t="shared" si="21"/>
        <v>100.64</v>
      </c>
    </row>
    <row r="182" s="106" customFormat="1" ht="20.1" customHeight="1" spans="1:10">
      <c r="A182" s="279" t="s">
        <v>1715</v>
      </c>
      <c r="B182" s="286" t="s">
        <v>1460</v>
      </c>
      <c r="C182" s="287">
        <v>41</v>
      </c>
      <c r="D182" s="288">
        <f t="shared" si="19"/>
        <v>34</v>
      </c>
      <c r="E182" s="287"/>
      <c r="F182" s="287"/>
      <c r="G182" s="287"/>
      <c r="H182" s="287"/>
      <c r="I182" s="302">
        <v>34</v>
      </c>
      <c r="J182" s="303">
        <f t="shared" si="21"/>
        <v>82.93</v>
      </c>
    </row>
    <row r="183" s="106" customFormat="1" ht="20.1" customHeight="1" spans="1:10">
      <c r="A183" s="279" t="s">
        <v>1716</v>
      </c>
      <c r="B183" s="286" t="s">
        <v>1462</v>
      </c>
      <c r="C183" s="287"/>
      <c r="D183" s="288">
        <f t="shared" si="19"/>
        <v>0</v>
      </c>
      <c r="E183" s="287"/>
      <c r="F183" s="287"/>
      <c r="G183" s="287"/>
      <c r="H183" s="287"/>
      <c r="I183" s="302"/>
      <c r="J183" s="303">
        <f t="shared" si="21"/>
        <v>0</v>
      </c>
    </row>
    <row r="184" s="106" customFormat="1" ht="20.1" customHeight="1" spans="1:10">
      <c r="A184" s="279" t="s">
        <v>1717</v>
      </c>
      <c r="B184" s="286" t="s">
        <v>1718</v>
      </c>
      <c r="C184" s="287"/>
      <c r="D184" s="288">
        <f t="shared" si="19"/>
        <v>0</v>
      </c>
      <c r="E184" s="287"/>
      <c r="F184" s="287"/>
      <c r="G184" s="287"/>
      <c r="H184" s="287"/>
      <c r="I184" s="302"/>
      <c r="J184" s="303"/>
    </row>
    <row r="185" s="106" customFormat="1" ht="20.1" customHeight="1" spans="1:10">
      <c r="A185" s="279" t="s">
        <v>1719</v>
      </c>
      <c r="B185" s="286" t="s">
        <v>1476</v>
      </c>
      <c r="C185" s="287"/>
      <c r="D185" s="288">
        <f t="shared" si="19"/>
        <v>0</v>
      </c>
      <c r="E185" s="287"/>
      <c r="F185" s="287"/>
      <c r="G185" s="287"/>
      <c r="H185" s="287"/>
      <c r="I185" s="302"/>
      <c r="J185" s="303">
        <f t="shared" ref="J185:J210" si="28">ROUND(IF(C185=0,IF(D185=0,0,1),IF(D185=0,-1,D185/C185)),4)*100</f>
        <v>0</v>
      </c>
    </row>
    <row r="186" s="106" customFormat="1" ht="20.1" customHeight="1" spans="1:10">
      <c r="A186" s="279" t="s">
        <v>1720</v>
      </c>
      <c r="B186" s="289" t="s">
        <v>1721</v>
      </c>
      <c r="C186" s="287">
        <v>66</v>
      </c>
      <c r="D186" s="288">
        <f t="shared" si="19"/>
        <v>9</v>
      </c>
      <c r="E186" s="287"/>
      <c r="F186" s="287"/>
      <c r="G186" s="287"/>
      <c r="H186" s="287"/>
      <c r="I186" s="302">
        <v>9</v>
      </c>
      <c r="J186" s="303">
        <f t="shared" si="28"/>
        <v>13.64</v>
      </c>
    </row>
    <row r="187" s="107" customFormat="1" ht="20.1" customHeight="1" spans="1:10">
      <c r="A187" s="283" t="s">
        <v>527</v>
      </c>
      <c r="B187" s="284" t="s">
        <v>1722</v>
      </c>
      <c r="C187" s="285">
        <f t="shared" ref="C187:I187" si="29">SUM(C188:C194)</f>
        <v>263</v>
      </c>
      <c r="D187" s="285">
        <f t="shared" si="19"/>
        <v>187</v>
      </c>
      <c r="E187" s="285">
        <f t="shared" si="29"/>
        <v>0</v>
      </c>
      <c r="F187" s="285">
        <f t="shared" si="29"/>
        <v>0</v>
      </c>
      <c r="G187" s="285">
        <f t="shared" si="29"/>
        <v>0</v>
      </c>
      <c r="H187" s="285">
        <f t="shared" si="29"/>
        <v>0</v>
      </c>
      <c r="I187" s="285">
        <f t="shared" si="29"/>
        <v>187</v>
      </c>
      <c r="J187" s="299">
        <f t="shared" si="28"/>
        <v>71.1</v>
      </c>
    </row>
    <row r="188" s="106" customFormat="1" ht="20.1" customHeight="1" spans="1:10">
      <c r="A188" s="279" t="s">
        <v>1723</v>
      </c>
      <c r="B188" s="289" t="s">
        <v>1458</v>
      </c>
      <c r="C188" s="287">
        <v>248</v>
      </c>
      <c r="D188" s="288">
        <f t="shared" si="19"/>
        <v>184</v>
      </c>
      <c r="E188" s="287"/>
      <c r="F188" s="287"/>
      <c r="G188" s="287"/>
      <c r="H188" s="287"/>
      <c r="I188" s="302">
        <v>184</v>
      </c>
      <c r="J188" s="303">
        <f t="shared" si="28"/>
        <v>74.19</v>
      </c>
    </row>
    <row r="189" s="106" customFormat="1" ht="20.1" customHeight="1" spans="1:10">
      <c r="A189" s="279" t="s">
        <v>1724</v>
      </c>
      <c r="B189" s="286" t="s">
        <v>1460</v>
      </c>
      <c r="C189" s="287"/>
      <c r="D189" s="288">
        <f t="shared" si="19"/>
        <v>0</v>
      </c>
      <c r="E189" s="287"/>
      <c r="F189" s="287"/>
      <c r="G189" s="287"/>
      <c r="H189" s="287"/>
      <c r="I189" s="302"/>
      <c r="J189" s="303">
        <f t="shared" si="28"/>
        <v>0</v>
      </c>
    </row>
    <row r="190" s="106" customFormat="1" ht="20.1" customHeight="1" spans="1:10">
      <c r="A190" s="279" t="s">
        <v>1725</v>
      </c>
      <c r="B190" s="286" t="s">
        <v>1462</v>
      </c>
      <c r="C190" s="287"/>
      <c r="D190" s="288">
        <f t="shared" si="19"/>
        <v>0</v>
      </c>
      <c r="E190" s="287"/>
      <c r="F190" s="287"/>
      <c r="G190" s="287"/>
      <c r="H190" s="287"/>
      <c r="I190" s="302"/>
      <c r="J190" s="303">
        <f t="shared" si="28"/>
        <v>0</v>
      </c>
    </row>
    <row r="191" s="106" customFormat="1" ht="20.1" customHeight="1" spans="1:10">
      <c r="A191" s="279" t="s">
        <v>1726</v>
      </c>
      <c r="B191" s="286" t="s">
        <v>1727</v>
      </c>
      <c r="C191" s="287">
        <v>5</v>
      </c>
      <c r="D191" s="288">
        <f t="shared" si="19"/>
        <v>0</v>
      </c>
      <c r="E191" s="287"/>
      <c r="F191" s="287"/>
      <c r="G191" s="287"/>
      <c r="H191" s="287"/>
      <c r="I191" s="302"/>
      <c r="J191" s="303">
        <f t="shared" si="28"/>
        <v>-100</v>
      </c>
    </row>
    <row r="192" s="106" customFormat="1" ht="20.1" customHeight="1" spans="1:10">
      <c r="A192" s="279" t="s">
        <v>1728</v>
      </c>
      <c r="B192" s="286" t="s">
        <v>1729</v>
      </c>
      <c r="C192" s="287"/>
      <c r="D192" s="288">
        <f t="shared" si="19"/>
        <v>0</v>
      </c>
      <c r="E192" s="287"/>
      <c r="F192" s="287"/>
      <c r="G192" s="287"/>
      <c r="H192" s="287"/>
      <c r="I192" s="302"/>
      <c r="J192" s="303">
        <f t="shared" si="28"/>
        <v>0</v>
      </c>
    </row>
    <row r="193" s="106" customFormat="1" ht="20.1" customHeight="1" spans="1:10">
      <c r="A193" s="279" t="s">
        <v>1730</v>
      </c>
      <c r="B193" s="286" t="s">
        <v>1476</v>
      </c>
      <c r="C193" s="287"/>
      <c r="D193" s="288">
        <f t="shared" si="19"/>
        <v>0</v>
      </c>
      <c r="E193" s="287"/>
      <c r="F193" s="287"/>
      <c r="G193" s="287"/>
      <c r="H193" s="287"/>
      <c r="I193" s="302"/>
      <c r="J193" s="303">
        <f t="shared" si="28"/>
        <v>0</v>
      </c>
    </row>
    <row r="194" s="106" customFormat="1" ht="20.1" customHeight="1" spans="1:10">
      <c r="A194" s="279" t="s">
        <v>1731</v>
      </c>
      <c r="B194" s="289" t="s">
        <v>1732</v>
      </c>
      <c r="C194" s="287">
        <v>10</v>
      </c>
      <c r="D194" s="288">
        <f t="shared" si="19"/>
        <v>3</v>
      </c>
      <c r="E194" s="287"/>
      <c r="F194" s="287"/>
      <c r="G194" s="287"/>
      <c r="H194" s="287"/>
      <c r="I194" s="302">
        <v>3</v>
      </c>
      <c r="J194" s="303">
        <f t="shared" si="28"/>
        <v>30</v>
      </c>
    </row>
    <row r="195" s="107" customFormat="1" ht="20.1" customHeight="1" spans="1:10">
      <c r="A195" s="283" t="s">
        <v>528</v>
      </c>
      <c r="B195" s="284" t="s">
        <v>1733</v>
      </c>
      <c r="C195" s="285">
        <v>0</v>
      </c>
      <c r="D195" s="285">
        <f t="shared" si="19"/>
        <v>0</v>
      </c>
      <c r="E195" s="285">
        <f t="shared" ref="E195:I195" si="30">SUM(E196:E200)</f>
        <v>0</v>
      </c>
      <c r="F195" s="285">
        <f t="shared" si="30"/>
        <v>0</v>
      </c>
      <c r="G195" s="285">
        <f t="shared" si="30"/>
        <v>0</v>
      </c>
      <c r="H195" s="285">
        <f t="shared" si="30"/>
        <v>0</v>
      </c>
      <c r="I195" s="285">
        <f t="shared" si="30"/>
        <v>0</v>
      </c>
      <c r="J195" s="299">
        <f t="shared" si="28"/>
        <v>0</v>
      </c>
    </row>
    <row r="196" s="106" customFormat="1" ht="20.1" customHeight="1" spans="1:10">
      <c r="A196" s="279" t="s">
        <v>1734</v>
      </c>
      <c r="B196" s="289" t="s">
        <v>1458</v>
      </c>
      <c r="C196" s="287">
        <v>0</v>
      </c>
      <c r="D196" s="288">
        <f t="shared" ref="D196:D240" si="31">SUM(E196:I196)</f>
        <v>0</v>
      </c>
      <c r="E196" s="287"/>
      <c r="F196" s="287"/>
      <c r="G196" s="287"/>
      <c r="H196" s="287"/>
      <c r="I196" s="302"/>
      <c r="J196" s="303">
        <f t="shared" si="28"/>
        <v>0</v>
      </c>
    </row>
    <row r="197" s="106" customFormat="1" ht="20.1" customHeight="1" spans="1:10">
      <c r="A197" s="279" t="s">
        <v>1735</v>
      </c>
      <c r="B197" s="41" t="s">
        <v>1460</v>
      </c>
      <c r="C197" s="287">
        <v>0</v>
      </c>
      <c r="D197" s="288">
        <f t="shared" si="31"/>
        <v>0</v>
      </c>
      <c r="E197" s="287"/>
      <c r="F197" s="287"/>
      <c r="G197" s="287"/>
      <c r="H197" s="287"/>
      <c r="I197" s="302"/>
      <c r="J197" s="303">
        <f t="shared" si="28"/>
        <v>0</v>
      </c>
    </row>
    <row r="198" s="106" customFormat="1" ht="20.1" customHeight="1" spans="1:10">
      <c r="A198" s="279" t="s">
        <v>1736</v>
      </c>
      <c r="B198" s="286" t="s">
        <v>1462</v>
      </c>
      <c r="C198" s="287">
        <v>0</v>
      </c>
      <c r="D198" s="288">
        <f t="shared" si="31"/>
        <v>0</v>
      </c>
      <c r="E198" s="287"/>
      <c r="F198" s="287"/>
      <c r="G198" s="287"/>
      <c r="H198" s="287"/>
      <c r="I198" s="302"/>
      <c r="J198" s="303">
        <f t="shared" si="28"/>
        <v>0</v>
      </c>
    </row>
    <row r="199" s="106" customFormat="1" ht="20.1" customHeight="1" spans="1:10">
      <c r="A199" s="279" t="s">
        <v>1737</v>
      </c>
      <c r="B199" s="286" t="s">
        <v>1476</v>
      </c>
      <c r="C199" s="287">
        <v>0</v>
      </c>
      <c r="D199" s="288">
        <f t="shared" si="31"/>
        <v>0</v>
      </c>
      <c r="E199" s="287"/>
      <c r="F199" s="287"/>
      <c r="G199" s="287"/>
      <c r="H199" s="287"/>
      <c r="I199" s="302"/>
      <c r="J199" s="303">
        <f t="shared" si="28"/>
        <v>0</v>
      </c>
    </row>
    <row r="200" s="106" customFormat="1" ht="20.1" customHeight="1" spans="1:10">
      <c r="A200" s="279" t="s">
        <v>1738</v>
      </c>
      <c r="B200" s="286" t="s">
        <v>1739</v>
      </c>
      <c r="C200" s="287">
        <v>0</v>
      </c>
      <c r="D200" s="288">
        <f t="shared" si="31"/>
        <v>0</v>
      </c>
      <c r="E200" s="287"/>
      <c r="F200" s="287"/>
      <c r="G200" s="287"/>
      <c r="H200" s="287"/>
      <c r="I200" s="302"/>
      <c r="J200" s="303">
        <f t="shared" si="28"/>
        <v>0</v>
      </c>
    </row>
    <row r="201" s="107" customFormat="1" ht="20.1" customHeight="1" spans="1:10">
      <c r="A201" s="283" t="s">
        <v>529</v>
      </c>
      <c r="B201" s="284" t="s">
        <v>1740</v>
      </c>
      <c r="C201" s="285">
        <f t="shared" ref="C201:I201" si="32">SUM(C202:C206)</f>
        <v>482</v>
      </c>
      <c r="D201" s="285">
        <f t="shared" si="31"/>
        <v>473</v>
      </c>
      <c r="E201" s="285">
        <f t="shared" si="32"/>
        <v>0</v>
      </c>
      <c r="F201" s="285">
        <f t="shared" si="32"/>
        <v>0</v>
      </c>
      <c r="G201" s="285">
        <f t="shared" si="32"/>
        <v>0</v>
      </c>
      <c r="H201" s="285">
        <f t="shared" si="32"/>
        <v>0</v>
      </c>
      <c r="I201" s="285">
        <f t="shared" si="32"/>
        <v>473</v>
      </c>
      <c r="J201" s="299">
        <f t="shared" si="28"/>
        <v>98.13</v>
      </c>
    </row>
    <row r="202" s="106" customFormat="1" ht="20.1" customHeight="1" spans="1:10">
      <c r="A202" s="279" t="s">
        <v>1741</v>
      </c>
      <c r="B202" s="289" t="s">
        <v>1458</v>
      </c>
      <c r="C202" s="287">
        <v>479</v>
      </c>
      <c r="D202" s="288">
        <f t="shared" si="31"/>
        <v>453</v>
      </c>
      <c r="E202" s="287"/>
      <c r="F202" s="287"/>
      <c r="G202" s="287"/>
      <c r="H202" s="287"/>
      <c r="I202" s="302">
        <v>453</v>
      </c>
      <c r="J202" s="303">
        <f t="shared" si="28"/>
        <v>94.57</v>
      </c>
    </row>
    <row r="203" s="106" customFormat="1" ht="20.1" customHeight="1" spans="1:10">
      <c r="A203" s="279" t="s">
        <v>1742</v>
      </c>
      <c r="B203" s="289" t="s">
        <v>1460</v>
      </c>
      <c r="C203" s="287"/>
      <c r="D203" s="288">
        <f t="shared" si="31"/>
        <v>0</v>
      </c>
      <c r="E203" s="287"/>
      <c r="F203" s="287"/>
      <c r="G203" s="287"/>
      <c r="H203" s="287"/>
      <c r="I203" s="302"/>
      <c r="J203" s="303">
        <f t="shared" si="28"/>
        <v>0</v>
      </c>
    </row>
    <row r="204" s="106" customFormat="1" ht="20.1" customHeight="1" spans="1:10">
      <c r="A204" s="279" t="s">
        <v>1743</v>
      </c>
      <c r="B204" s="286" t="s">
        <v>1462</v>
      </c>
      <c r="C204" s="287"/>
      <c r="D204" s="288">
        <f t="shared" si="31"/>
        <v>0</v>
      </c>
      <c r="E204" s="287"/>
      <c r="F204" s="287"/>
      <c r="G204" s="287"/>
      <c r="H204" s="287"/>
      <c r="I204" s="302"/>
      <c r="J204" s="303">
        <f t="shared" si="28"/>
        <v>0</v>
      </c>
    </row>
    <row r="205" s="106" customFormat="1" ht="20.1" customHeight="1" spans="1:10">
      <c r="A205" s="279" t="s">
        <v>1744</v>
      </c>
      <c r="B205" s="286" t="s">
        <v>1476</v>
      </c>
      <c r="C205" s="287"/>
      <c r="D205" s="288">
        <f t="shared" si="31"/>
        <v>0</v>
      </c>
      <c r="E205" s="287"/>
      <c r="F205" s="287"/>
      <c r="G205" s="287"/>
      <c r="H205" s="287"/>
      <c r="I205" s="302"/>
      <c r="J205" s="303">
        <f t="shared" si="28"/>
        <v>0</v>
      </c>
    </row>
    <row r="206" s="106" customFormat="1" ht="20.1" customHeight="1" spans="1:10">
      <c r="A206" s="279" t="s">
        <v>1745</v>
      </c>
      <c r="B206" s="286" t="s">
        <v>1746</v>
      </c>
      <c r="C206" s="287">
        <v>3</v>
      </c>
      <c r="D206" s="288">
        <f t="shared" si="31"/>
        <v>20</v>
      </c>
      <c r="E206" s="287"/>
      <c r="F206" s="287"/>
      <c r="G206" s="287"/>
      <c r="H206" s="287"/>
      <c r="I206" s="302">
        <v>20</v>
      </c>
      <c r="J206" s="303">
        <f t="shared" si="28"/>
        <v>666.67</v>
      </c>
    </row>
    <row r="207" s="107" customFormat="1" ht="20.1" customHeight="1" spans="1:10">
      <c r="A207" s="283" t="s">
        <v>530</v>
      </c>
      <c r="B207" s="284" t="s">
        <v>1747</v>
      </c>
      <c r="C207" s="285">
        <f t="shared" ref="C207:I207" si="33">SUM(C208:C213)</f>
        <v>0</v>
      </c>
      <c r="D207" s="285">
        <f t="shared" si="31"/>
        <v>0</v>
      </c>
      <c r="E207" s="285">
        <f t="shared" si="33"/>
        <v>0</v>
      </c>
      <c r="F207" s="285">
        <f t="shared" si="33"/>
        <v>0</v>
      </c>
      <c r="G207" s="285">
        <f t="shared" si="33"/>
        <v>0</v>
      </c>
      <c r="H207" s="285">
        <f t="shared" si="33"/>
        <v>0</v>
      </c>
      <c r="I207" s="285">
        <f t="shared" si="33"/>
        <v>0</v>
      </c>
      <c r="J207" s="299">
        <f t="shared" si="28"/>
        <v>0</v>
      </c>
    </row>
    <row r="208" s="106" customFormat="1" ht="20.1" customHeight="1" spans="1:10">
      <c r="A208" s="279" t="s">
        <v>1748</v>
      </c>
      <c r="B208" s="289" t="s">
        <v>1458</v>
      </c>
      <c r="C208" s="287">
        <v>0</v>
      </c>
      <c r="D208" s="288">
        <f t="shared" si="31"/>
        <v>0</v>
      </c>
      <c r="E208" s="287"/>
      <c r="F208" s="287"/>
      <c r="G208" s="287"/>
      <c r="H208" s="287"/>
      <c r="I208" s="302"/>
      <c r="J208" s="303">
        <f t="shared" si="28"/>
        <v>0</v>
      </c>
    </row>
    <row r="209" s="106" customFormat="1" ht="20.1" customHeight="1" spans="1:10">
      <c r="A209" s="279" t="s">
        <v>1749</v>
      </c>
      <c r="B209" s="289" t="s">
        <v>1460</v>
      </c>
      <c r="C209" s="287">
        <v>0</v>
      </c>
      <c r="D209" s="288">
        <f t="shared" si="31"/>
        <v>0</v>
      </c>
      <c r="E209" s="287"/>
      <c r="F209" s="287"/>
      <c r="G209" s="287"/>
      <c r="H209" s="287"/>
      <c r="I209" s="302"/>
      <c r="J209" s="303">
        <f t="shared" si="28"/>
        <v>0</v>
      </c>
    </row>
    <row r="210" s="106" customFormat="1" ht="20.1" customHeight="1" spans="1:10">
      <c r="A210" s="279" t="s">
        <v>1750</v>
      </c>
      <c r="B210" s="286" t="s">
        <v>1462</v>
      </c>
      <c r="C210" s="287">
        <v>0</v>
      </c>
      <c r="D210" s="288">
        <f t="shared" si="31"/>
        <v>0</v>
      </c>
      <c r="E210" s="287"/>
      <c r="F210" s="287"/>
      <c r="G210" s="287"/>
      <c r="H210" s="287"/>
      <c r="I210" s="302"/>
      <c r="J210" s="303">
        <f t="shared" si="28"/>
        <v>0</v>
      </c>
    </row>
    <row r="211" s="106" customFormat="1" ht="20.1" customHeight="1" spans="1:10">
      <c r="A211" s="279" t="s">
        <v>1751</v>
      </c>
      <c r="B211" s="286" t="s">
        <v>1752</v>
      </c>
      <c r="C211" s="287"/>
      <c r="D211" s="288">
        <f t="shared" si="31"/>
        <v>0</v>
      </c>
      <c r="E211" s="287"/>
      <c r="F211" s="287"/>
      <c r="G211" s="287"/>
      <c r="H211" s="287"/>
      <c r="I211" s="302"/>
      <c r="J211" s="303"/>
    </row>
    <row r="212" s="106" customFormat="1" ht="20.1" customHeight="1" spans="1:10">
      <c r="A212" s="279" t="s">
        <v>1753</v>
      </c>
      <c r="B212" s="286" t="s">
        <v>1476</v>
      </c>
      <c r="C212" s="287">
        <v>0</v>
      </c>
      <c r="D212" s="288">
        <f t="shared" si="31"/>
        <v>0</v>
      </c>
      <c r="E212" s="287"/>
      <c r="F212" s="287"/>
      <c r="G212" s="287"/>
      <c r="H212" s="287"/>
      <c r="I212" s="302"/>
      <c r="J212" s="303">
        <f t="shared" ref="J212:J224" si="34">ROUND(IF(C212=0,IF(D212=0,0,1),IF(D212=0,-1,D212/C212)),4)*100</f>
        <v>0</v>
      </c>
    </row>
    <row r="213" s="106" customFormat="1" ht="20.1" customHeight="1" spans="1:10">
      <c r="A213" s="279" t="s">
        <v>1754</v>
      </c>
      <c r="B213" s="286" t="s">
        <v>1755</v>
      </c>
      <c r="C213" s="287"/>
      <c r="D213" s="288">
        <f t="shared" si="31"/>
        <v>0</v>
      </c>
      <c r="E213" s="287"/>
      <c r="F213" s="287"/>
      <c r="G213" s="287"/>
      <c r="H213" s="287"/>
      <c r="I213" s="302"/>
      <c r="J213" s="303">
        <f t="shared" si="34"/>
        <v>0</v>
      </c>
    </row>
    <row r="214" s="107" customFormat="1" ht="20.1" customHeight="1" spans="1:10">
      <c r="A214" s="283" t="s">
        <v>531</v>
      </c>
      <c r="B214" s="284" t="s">
        <v>1756</v>
      </c>
      <c r="C214" s="285">
        <f t="shared" ref="C214:I214" si="35">SUM(C215:C228)</f>
        <v>1654</v>
      </c>
      <c r="D214" s="285">
        <f t="shared" si="31"/>
        <v>1447</v>
      </c>
      <c r="E214" s="285">
        <f t="shared" si="35"/>
        <v>30</v>
      </c>
      <c r="F214" s="285">
        <f t="shared" si="35"/>
        <v>5</v>
      </c>
      <c r="G214" s="285">
        <f t="shared" si="35"/>
        <v>38</v>
      </c>
      <c r="H214" s="285">
        <f t="shared" si="35"/>
        <v>0</v>
      </c>
      <c r="I214" s="285">
        <f t="shared" si="35"/>
        <v>1374</v>
      </c>
      <c r="J214" s="299">
        <f t="shared" si="34"/>
        <v>87.48</v>
      </c>
    </row>
    <row r="215" s="106" customFormat="1" ht="20.1" customHeight="1" spans="1:10">
      <c r="A215" s="279" t="s">
        <v>1757</v>
      </c>
      <c r="B215" s="289" t="s">
        <v>1458</v>
      </c>
      <c r="C215" s="287">
        <v>1405</v>
      </c>
      <c r="D215" s="288">
        <f t="shared" si="31"/>
        <v>1300</v>
      </c>
      <c r="E215" s="287"/>
      <c r="F215" s="287"/>
      <c r="G215" s="287"/>
      <c r="H215" s="287"/>
      <c r="I215" s="302">
        <v>1300</v>
      </c>
      <c r="J215" s="303">
        <f t="shared" si="34"/>
        <v>92.53</v>
      </c>
    </row>
    <row r="216" s="106" customFormat="1" ht="20.1" customHeight="1" spans="1:10">
      <c r="A216" s="279" t="s">
        <v>1758</v>
      </c>
      <c r="B216" s="289" t="s">
        <v>1460</v>
      </c>
      <c r="C216" s="287"/>
      <c r="D216" s="288">
        <f t="shared" si="31"/>
        <v>0</v>
      </c>
      <c r="E216" s="287"/>
      <c r="F216" s="287"/>
      <c r="G216" s="287"/>
      <c r="H216" s="287"/>
      <c r="I216" s="302"/>
      <c r="J216" s="303">
        <f t="shared" si="34"/>
        <v>0</v>
      </c>
    </row>
    <row r="217" s="106" customFormat="1" ht="20.1" customHeight="1" spans="1:10">
      <c r="A217" s="279" t="s">
        <v>1759</v>
      </c>
      <c r="B217" s="286" t="s">
        <v>1462</v>
      </c>
      <c r="C217" s="287"/>
      <c r="D217" s="288">
        <f t="shared" si="31"/>
        <v>0</v>
      </c>
      <c r="E217" s="287"/>
      <c r="F217" s="287"/>
      <c r="G217" s="287"/>
      <c r="H217" s="287"/>
      <c r="I217" s="302"/>
      <c r="J217" s="303">
        <f t="shared" si="34"/>
        <v>0</v>
      </c>
    </row>
    <row r="218" s="106" customFormat="1" ht="20.1" customHeight="1" spans="1:10">
      <c r="A218" s="279" t="s">
        <v>1760</v>
      </c>
      <c r="B218" s="286" t="s">
        <v>1761</v>
      </c>
      <c r="C218" s="287">
        <v>9</v>
      </c>
      <c r="D218" s="288">
        <f t="shared" si="31"/>
        <v>1</v>
      </c>
      <c r="E218" s="287"/>
      <c r="F218" s="287"/>
      <c r="G218" s="287"/>
      <c r="H218" s="287"/>
      <c r="I218" s="302">
        <v>1</v>
      </c>
      <c r="J218" s="303">
        <f t="shared" si="34"/>
        <v>11.11</v>
      </c>
    </row>
    <row r="219" s="106" customFormat="1" ht="20.1" customHeight="1" spans="1:10">
      <c r="A219" s="279" t="s">
        <v>1762</v>
      </c>
      <c r="B219" s="286" t="s">
        <v>1763</v>
      </c>
      <c r="C219" s="287">
        <v>30</v>
      </c>
      <c r="D219" s="288">
        <f t="shared" si="31"/>
        <v>31</v>
      </c>
      <c r="E219" s="287"/>
      <c r="F219" s="287"/>
      <c r="G219" s="287">
        <v>31</v>
      </c>
      <c r="H219" s="287"/>
      <c r="I219" s="302"/>
      <c r="J219" s="303">
        <f t="shared" si="34"/>
        <v>103.33</v>
      </c>
    </row>
    <row r="220" s="106" customFormat="1" ht="20.1" customHeight="1" spans="1:10">
      <c r="A220" s="279" t="s">
        <v>1764</v>
      </c>
      <c r="B220" s="286" t="s">
        <v>1553</v>
      </c>
      <c r="C220" s="287"/>
      <c r="D220" s="288">
        <f t="shared" si="31"/>
        <v>0</v>
      </c>
      <c r="E220" s="287"/>
      <c r="F220" s="287"/>
      <c r="G220" s="287"/>
      <c r="H220" s="287"/>
      <c r="I220" s="302"/>
      <c r="J220" s="303">
        <f t="shared" si="34"/>
        <v>0</v>
      </c>
    </row>
    <row r="221" s="106" customFormat="1" ht="20.1" customHeight="1" spans="1:10">
      <c r="A221" s="279" t="s">
        <v>1765</v>
      </c>
      <c r="B221" s="286" t="s">
        <v>1766</v>
      </c>
      <c r="C221" s="287">
        <v>11</v>
      </c>
      <c r="D221" s="288">
        <f t="shared" si="31"/>
        <v>0</v>
      </c>
      <c r="E221" s="287"/>
      <c r="F221" s="287"/>
      <c r="G221" s="287"/>
      <c r="H221" s="287"/>
      <c r="I221" s="302"/>
      <c r="J221" s="303">
        <f t="shared" si="34"/>
        <v>-100</v>
      </c>
    </row>
    <row r="222" s="106" customFormat="1" ht="20.1" customHeight="1" spans="1:10">
      <c r="A222" s="279" t="s">
        <v>1767</v>
      </c>
      <c r="B222" s="286" t="s">
        <v>1768</v>
      </c>
      <c r="C222" s="287">
        <v>5</v>
      </c>
      <c r="D222" s="288">
        <f t="shared" si="31"/>
        <v>5</v>
      </c>
      <c r="E222" s="287"/>
      <c r="F222" s="287">
        <v>5</v>
      </c>
      <c r="G222" s="287"/>
      <c r="H222" s="287"/>
      <c r="I222" s="302"/>
      <c r="J222" s="303">
        <f t="shared" si="34"/>
        <v>100</v>
      </c>
    </row>
    <row r="223" s="106" customFormat="1" ht="20.1" customHeight="1" spans="1:10">
      <c r="A223" s="279" t="s">
        <v>1769</v>
      </c>
      <c r="B223" s="286" t="s">
        <v>1770</v>
      </c>
      <c r="C223" s="287"/>
      <c r="D223" s="288">
        <f t="shared" si="31"/>
        <v>0</v>
      </c>
      <c r="E223" s="287"/>
      <c r="F223" s="287"/>
      <c r="G223" s="287"/>
      <c r="H223" s="287"/>
      <c r="I223" s="302"/>
      <c r="J223" s="303">
        <f t="shared" si="34"/>
        <v>0</v>
      </c>
    </row>
    <row r="224" s="106" customFormat="1" ht="20.1" customHeight="1" spans="1:10">
      <c r="A224" s="279" t="s">
        <v>1771</v>
      </c>
      <c r="B224" s="286" t="s">
        <v>1772</v>
      </c>
      <c r="C224" s="287"/>
      <c r="D224" s="288">
        <f t="shared" si="31"/>
        <v>0</v>
      </c>
      <c r="E224" s="287"/>
      <c r="F224" s="287"/>
      <c r="G224" s="287"/>
      <c r="H224" s="287"/>
      <c r="I224" s="302"/>
      <c r="J224" s="303">
        <f t="shared" si="34"/>
        <v>0</v>
      </c>
    </row>
    <row r="225" s="106" customFormat="1" ht="20.1" customHeight="1" spans="1:10">
      <c r="A225" s="279" t="s">
        <v>1773</v>
      </c>
      <c r="B225" s="688" t="s">
        <v>1774</v>
      </c>
      <c r="C225" s="287">
        <v>4</v>
      </c>
      <c r="D225" s="288">
        <f t="shared" si="31"/>
        <v>17</v>
      </c>
      <c r="E225" s="287">
        <v>10</v>
      </c>
      <c r="F225" s="287"/>
      <c r="G225" s="287">
        <v>7</v>
      </c>
      <c r="H225" s="287"/>
      <c r="I225" s="302"/>
      <c r="J225" s="303"/>
    </row>
    <row r="226" s="106" customFormat="1" ht="20.1" customHeight="1" spans="1:10">
      <c r="A226" s="279" t="s">
        <v>1775</v>
      </c>
      <c r="B226" s="688" t="s">
        <v>1776</v>
      </c>
      <c r="C226" s="287">
        <v>58</v>
      </c>
      <c r="D226" s="288">
        <f t="shared" si="31"/>
        <v>47</v>
      </c>
      <c r="E226" s="287">
        <v>20</v>
      </c>
      <c r="F226" s="287"/>
      <c r="G226" s="287"/>
      <c r="H226" s="287"/>
      <c r="I226" s="302">
        <v>27</v>
      </c>
      <c r="J226" s="303"/>
    </row>
    <row r="227" s="106" customFormat="1" ht="20.1" customHeight="1" spans="1:10">
      <c r="A227" s="279" t="s">
        <v>1777</v>
      </c>
      <c r="B227" s="286" t="s">
        <v>1476</v>
      </c>
      <c r="C227" s="287"/>
      <c r="D227" s="288">
        <f t="shared" si="31"/>
        <v>0</v>
      </c>
      <c r="E227" s="287"/>
      <c r="F227" s="287"/>
      <c r="G227" s="287"/>
      <c r="H227" s="287"/>
      <c r="I227" s="302"/>
      <c r="J227" s="303">
        <f t="shared" ref="J227:J240" si="36">ROUND(IF(C227=0,IF(D227=0,0,1),IF(D227=0,-1,D227/C227)),4)*100</f>
        <v>0</v>
      </c>
    </row>
    <row r="228" s="106" customFormat="1" ht="20.1" customHeight="1" spans="1:10">
      <c r="A228" s="279" t="s">
        <v>1778</v>
      </c>
      <c r="B228" s="286" t="s">
        <v>1779</v>
      </c>
      <c r="C228" s="287">
        <v>132</v>
      </c>
      <c r="D228" s="288">
        <f t="shared" si="31"/>
        <v>46</v>
      </c>
      <c r="E228" s="287"/>
      <c r="F228" s="287"/>
      <c r="G228" s="287"/>
      <c r="H228" s="287"/>
      <c r="I228" s="302">
        <v>46</v>
      </c>
      <c r="J228" s="303">
        <f t="shared" si="36"/>
        <v>34.85</v>
      </c>
    </row>
    <row r="229" s="107" customFormat="1" ht="20.1" customHeight="1" spans="1:10">
      <c r="A229" s="283" t="s">
        <v>532</v>
      </c>
      <c r="B229" s="284" t="s">
        <v>1780</v>
      </c>
      <c r="C229" s="285">
        <f t="shared" ref="C229:I229" si="37">SUM(C230:C235)</f>
        <v>151</v>
      </c>
      <c r="D229" s="285">
        <f t="shared" si="31"/>
        <v>216</v>
      </c>
      <c r="E229" s="285">
        <f t="shared" si="37"/>
        <v>0</v>
      </c>
      <c r="F229" s="285">
        <f t="shared" si="37"/>
        <v>5</v>
      </c>
      <c r="G229" s="285">
        <f t="shared" si="37"/>
        <v>5</v>
      </c>
      <c r="H229" s="285">
        <f t="shared" si="37"/>
        <v>0</v>
      </c>
      <c r="I229" s="285">
        <f t="shared" si="37"/>
        <v>206</v>
      </c>
      <c r="J229" s="299">
        <f t="shared" si="36"/>
        <v>143.05</v>
      </c>
    </row>
    <row r="230" s="106" customFormat="1" ht="20.1" customHeight="1" spans="1:10">
      <c r="A230" s="279" t="s">
        <v>1781</v>
      </c>
      <c r="B230" s="289" t="s">
        <v>1458</v>
      </c>
      <c r="C230" s="287">
        <v>150</v>
      </c>
      <c r="D230" s="288">
        <f t="shared" si="31"/>
        <v>197</v>
      </c>
      <c r="E230" s="287"/>
      <c r="F230" s="287"/>
      <c r="G230" s="287"/>
      <c r="H230" s="287"/>
      <c r="I230" s="302">
        <v>197</v>
      </c>
      <c r="J230" s="303">
        <f t="shared" si="36"/>
        <v>131.33</v>
      </c>
    </row>
    <row r="231" s="106" customFormat="1" ht="20.1" customHeight="1" spans="1:10">
      <c r="A231" s="279" t="s">
        <v>1782</v>
      </c>
      <c r="B231" s="289" t="s">
        <v>1460</v>
      </c>
      <c r="C231" s="287"/>
      <c r="D231" s="288">
        <f t="shared" si="31"/>
        <v>5</v>
      </c>
      <c r="E231" s="287"/>
      <c r="F231" s="287"/>
      <c r="G231" s="287">
        <v>5</v>
      </c>
      <c r="H231" s="287"/>
      <c r="I231" s="302"/>
      <c r="J231" s="303">
        <f t="shared" si="36"/>
        <v>100</v>
      </c>
    </row>
    <row r="232" s="106" customFormat="1" ht="20.1" customHeight="1" spans="1:10">
      <c r="A232" s="279" t="s">
        <v>1783</v>
      </c>
      <c r="B232" s="286" t="s">
        <v>1462</v>
      </c>
      <c r="C232" s="287"/>
      <c r="D232" s="288">
        <f t="shared" si="31"/>
        <v>0</v>
      </c>
      <c r="E232" s="287"/>
      <c r="F232" s="287"/>
      <c r="G232" s="287"/>
      <c r="H232" s="287"/>
      <c r="I232" s="302"/>
      <c r="J232" s="303">
        <f t="shared" si="36"/>
        <v>0</v>
      </c>
    </row>
    <row r="233" s="106" customFormat="1" ht="20.1" customHeight="1" spans="1:11">
      <c r="A233" s="279" t="s">
        <v>1784</v>
      </c>
      <c r="B233" s="286" t="s">
        <v>1700</v>
      </c>
      <c r="C233" s="287">
        <v>1</v>
      </c>
      <c r="D233" s="288">
        <f t="shared" si="31"/>
        <v>5</v>
      </c>
      <c r="E233" s="287"/>
      <c r="F233" s="287">
        <v>5</v>
      </c>
      <c r="G233" s="287"/>
      <c r="H233" s="287"/>
      <c r="I233" s="302"/>
      <c r="J233" s="303">
        <f t="shared" si="36"/>
        <v>500</v>
      </c>
      <c r="K233" s="321" t="s">
        <v>1785</v>
      </c>
    </row>
    <row r="234" s="106" customFormat="1" ht="20.1" customHeight="1" spans="1:10">
      <c r="A234" s="279" t="s">
        <v>1786</v>
      </c>
      <c r="B234" s="286" t="s">
        <v>1476</v>
      </c>
      <c r="C234" s="287"/>
      <c r="D234" s="288">
        <f t="shared" si="31"/>
        <v>0</v>
      </c>
      <c r="E234" s="287"/>
      <c r="F234" s="287"/>
      <c r="G234" s="287"/>
      <c r="H234" s="287"/>
      <c r="I234" s="302"/>
      <c r="J234" s="303">
        <f t="shared" si="36"/>
        <v>0</v>
      </c>
    </row>
    <row r="235" s="106" customFormat="1" ht="20.1" customHeight="1" spans="1:10">
      <c r="A235" s="279" t="s">
        <v>1787</v>
      </c>
      <c r="B235" s="286" t="s">
        <v>1788</v>
      </c>
      <c r="C235" s="287"/>
      <c r="D235" s="288">
        <f t="shared" si="31"/>
        <v>9</v>
      </c>
      <c r="E235" s="287"/>
      <c r="F235" s="287"/>
      <c r="G235" s="287"/>
      <c r="H235" s="287"/>
      <c r="I235" s="302">
        <v>9</v>
      </c>
      <c r="J235" s="303">
        <f t="shared" si="36"/>
        <v>100</v>
      </c>
    </row>
    <row r="236" s="107" customFormat="1" ht="20.1" customHeight="1" spans="1:10">
      <c r="A236" s="283" t="s">
        <v>533</v>
      </c>
      <c r="B236" s="284" t="s">
        <v>1789</v>
      </c>
      <c r="C236" s="285">
        <f t="shared" ref="C236:I236" si="38">SUM(C237:C242)</f>
        <v>177</v>
      </c>
      <c r="D236" s="285">
        <f t="shared" si="31"/>
        <v>171</v>
      </c>
      <c r="E236" s="285">
        <f t="shared" si="38"/>
        <v>0</v>
      </c>
      <c r="F236" s="285">
        <f t="shared" si="38"/>
        <v>0</v>
      </c>
      <c r="G236" s="285">
        <f t="shared" si="38"/>
        <v>0</v>
      </c>
      <c r="H236" s="285">
        <f t="shared" si="38"/>
        <v>0</v>
      </c>
      <c r="I236" s="285">
        <f t="shared" si="38"/>
        <v>171</v>
      </c>
      <c r="J236" s="299">
        <f t="shared" si="36"/>
        <v>96.61</v>
      </c>
    </row>
    <row r="237" s="106" customFormat="1" ht="20.1" customHeight="1" spans="1:10">
      <c r="A237" s="279" t="s">
        <v>1790</v>
      </c>
      <c r="B237" s="289" t="s">
        <v>1458</v>
      </c>
      <c r="C237" s="287">
        <v>147</v>
      </c>
      <c r="D237" s="288">
        <f t="shared" si="31"/>
        <v>142</v>
      </c>
      <c r="E237" s="287"/>
      <c r="F237" s="287"/>
      <c r="G237" s="287"/>
      <c r="H237" s="287"/>
      <c r="I237" s="302">
        <v>142</v>
      </c>
      <c r="J237" s="303">
        <f t="shared" si="36"/>
        <v>96.6</v>
      </c>
    </row>
    <row r="238" s="106" customFormat="1" ht="20.1" customHeight="1" spans="1:10">
      <c r="A238" s="279" t="s">
        <v>1791</v>
      </c>
      <c r="B238" s="289" t="s">
        <v>1460</v>
      </c>
      <c r="C238" s="287"/>
      <c r="D238" s="288">
        <f t="shared" si="31"/>
        <v>0</v>
      </c>
      <c r="E238" s="287"/>
      <c r="F238" s="287"/>
      <c r="G238" s="287"/>
      <c r="H238" s="287"/>
      <c r="I238" s="302"/>
      <c r="J238" s="303">
        <f t="shared" si="36"/>
        <v>0</v>
      </c>
    </row>
    <row r="239" s="106" customFormat="1" ht="20.1" customHeight="1" spans="1:10">
      <c r="A239" s="279" t="s">
        <v>1792</v>
      </c>
      <c r="B239" s="286" t="s">
        <v>1462</v>
      </c>
      <c r="C239" s="287"/>
      <c r="D239" s="288">
        <f t="shared" si="31"/>
        <v>0</v>
      </c>
      <c r="E239" s="287"/>
      <c r="F239" s="287"/>
      <c r="G239" s="287"/>
      <c r="H239" s="287"/>
      <c r="I239" s="302"/>
      <c r="J239" s="303">
        <f t="shared" si="36"/>
        <v>0</v>
      </c>
    </row>
    <row r="240" s="106" customFormat="1" ht="20.1" customHeight="1" spans="1:10">
      <c r="A240" s="279" t="s">
        <v>1793</v>
      </c>
      <c r="B240" s="286" t="s">
        <v>1794</v>
      </c>
      <c r="C240" s="287">
        <v>30</v>
      </c>
      <c r="D240" s="288">
        <f t="shared" si="31"/>
        <v>29</v>
      </c>
      <c r="E240" s="287"/>
      <c r="F240" s="287"/>
      <c r="G240" s="287"/>
      <c r="H240" s="287"/>
      <c r="I240" s="302">
        <v>29</v>
      </c>
      <c r="J240" s="303">
        <f t="shared" si="36"/>
        <v>96.67</v>
      </c>
    </row>
    <row r="241" s="106" customFormat="1" ht="20.1" customHeight="1" spans="1:10">
      <c r="A241" s="279" t="s">
        <v>1795</v>
      </c>
      <c r="B241" s="286" t="s">
        <v>1476</v>
      </c>
      <c r="C241" s="287"/>
      <c r="D241" s="288"/>
      <c r="E241" s="287"/>
      <c r="F241" s="287"/>
      <c r="G241" s="287"/>
      <c r="H241" s="287"/>
      <c r="I241" s="302"/>
      <c r="J241" s="303"/>
    </row>
    <row r="242" s="106" customFormat="1" ht="20.1" customHeight="1" spans="1:10">
      <c r="A242" s="279" t="s">
        <v>1796</v>
      </c>
      <c r="B242" s="286" t="s">
        <v>1797</v>
      </c>
      <c r="C242" s="287"/>
      <c r="D242" s="288">
        <f t="shared" ref="D242:D305" si="39">SUM(E242:I242)</f>
        <v>0</v>
      </c>
      <c r="E242" s="287"/>
      <c r="F242" s="287"/>
      <c r="G242" s="287"/>
      <c r="H242" s="287"/>
      <c r="I242" s="302"/>
      <c r="J242" s="303">
        <f>ROUND(IF(C242=0,IF(D242=0,0,1),IF(D242=0,-1,D242/C242)),4)*100</f>
        <v>0</v>
      </c>
    </row>
    <row r="243" s="107" customFormat="1" ht="20.1" customHeight="1" spans="1:10">
      <c r="A243" s="283" t="s">
        <v>534</v>
      </c>
      <c r="B243" s="284" t="s">
        <v>1798</v>
      </c>
      <c r="C243" s="285">
        <f t="shared" ref="C243:I243" si="40">SUM(C244:C248)</f>
        <v>0</v>
      </c>
      <c r="D243" s="285">
        <f t="shared" si="39"/>
        <v>0</v>
      </c>
      <c r="E243" s="285">
        <f t="shared" si="40"/>
        <v>0</v>
      </c>
      <c r="F243" s="285">
        <f t="shared" si="40"/>
        <v>0</v>
      </c>
      <c r="G243" s="285">
        <f t="shared" si="40"/>
        <v>0</v>
      </c>
      <c r="H243" s="285">
        <f t="shared" si="40"/>
        <v>0</v>
      </c>
      <c r="I243" s="285">
        <f t="shared" si="40"/>
        <v>0</v>
      </c>
      <c r="J243" s="299"/>
    </row>
    <row r="244" s="106" customFormat="1" ht="20.1" customHeight="1" spans="1:10">
      <c r="A244" s="279" t="s">
        <v>1799</v>
      </c>
      <c r="B244" s="289" t="s">
        <v>1458</v>
      </c>
      <c r="C244" s="287"/>
      <c r="D244" s="288">
        <f t="shared" si="39"/>
        <v>0</v>
      </c>
      <c r="E244" s="287"/>
      <c r="F244" s="287"/>
      <c r="G244" s="287"/>
      <c r="H244" s="287"/>
      <c r="I244" s="302"/>
      <c r="J244" s="303"/>
    </row>
    <row r="245" s="106" customFormat="1" ht="20.1" customHeight="1" spans="1:10">
      <c r="A245" s="279" t="s">
        <v>1800</v>
      </c>
      <c r="B245" s="289" t="s">
        <v>1460</v>
      </c>
      <c r="C245" s="287"/>
      <c r="D245" s="288">
        <f t="shared" si="39"/>
        <v>0</v>
      </c>
      <c r="E245" s="287"/>
      <c r="F245" s="287"/>
      <c r="G245" s="287"/>
      <c r="H245" s="287"/>
      <c r="I245" s="302"/>
      <c r="J245" s="303"/>
    </row>
    <row r="246" s="106" customFormat="1" ht="20.1" customHeight="1" spans="1:10">
      <c r="A246" s="279" t="s">
        <v>1801</v>
      </c>
      <c r="B246" s="286" t="s">
        <v>1462</v>
      </c>
      <c r="C246" s="287"/>
      <c r="D246" s="288">
        <f t="shared" si="39"/>
        <v>0</v>
      </c>
      <c r="E246" s="287"/>
      <c r="F246" s="287"/>
      <c r="G246" s="287"/>
      <c r="H246" s="287"/>
      <c r="I246" s="302"/>
      <c r="J246" s="303"/>
    </row>
    <row r="247" s="106" customFormat="1" ht="20.1" customHeight="1" spans="1:10">
      <c r="A247" s="279" t="s">
        <v>1802</v>
      </c>
      <c r="B247" s="286" t="s">
        <v>1476</v>
      </c>
      <c r="C247" s="287"/>
      <c r="D247" s="288">
        <f t="shared" si="39"/>
        <v>0</v>
      </c>
      <c r="E247" s="287"/>
      <c r="F247" s="287"/>
      <c r="G247" s="287"/>
      <c r="H247" s="287"/>
      <c r="I247" s="302"/>
      <c r="J247" s="303"/>
    </row>
    <row r="248" s="106" customFormat="1" ht="20.1" customHeight="1" spans="1:10">
      <c r="A248" s="279" t="s">
        <v>1803</v>
      </c>
      <c r="B248" s="286" t="s">
        <v>1804</v>
      </c>
      <c r="C248" s="287"/>
      <c r="D248" s="288">
        <f t="shared" si="39"/>
        <v>0</v>
      </c>
      <c r="E248" s="287"/>
      <c r="F248" s="287"/>
      <c r="G248" s="287"/>
      <c r="H248" s="287"/>
      <c r="I248" s="302"/>
      <c r="J248" s="303"/>
    </row>
    <row r="249" s="107" customFormat="1" ht="20.1" customHeight="1" spans="1:10">
      <c r="A249" s="283" t="s">
        <v>535</v>
      </c>
      <c r="B249" s="284" t="s">
        <v>1805</v>
      </c>
      <c r="C249" s="285">
        <f t="shared" ref="C249:I249" si="41">SUM(C250:C251)</f>
        <v>1014</v>
      </c>
      <c r="D249" s="285">
        <f t="shared" si="39"/>
        <v>5209</v>
      </c>
      <c r="E249" s="285">
        <f t="shared" si="41"/>
        <v>0</v>
      </c>
      <c r="F249" s="285">
        <f t="shared" si="41"/>
        <v>0</v>
      </c>
      <c r="G249" s="285">
        <f t="shared" si="41"/>
        <v>0</v>
      </c>
      <c r="H249" s="285">
        <f t="shared" si="41"/>
        <v>4964</v>
      </c>
      <c r="I249" s="285">
        <f t="shared" si="41"/>
        <v>245</v>
      </c>
      <c r="J249" s="299">
        <f t="shared" ref="J249:J252" si="42">ROUND(IF(C249=0,IF(D249=0,0,1),IF(D249=0,-1,D249/C249)),4)*100</f>
        <v>513.71</v>
      </c>
    </row>
    <row r="250" s="106" customFormat="1" ht="20.1" customHeight="1" spans="1:10">
      <c r="A250" s="279" t="s">
        <v>1806</v>
      </c>
      <c r="B250" s="289" t="s">
        <v>1807</v>
      </c>
      <c r="C250" s="287">
        <v>0</v>
      </c>
      <c r="D250" s="288">
        <f t="shared" si="39"/>
        <v>0</v>
      </c>
      <c r="E250" s="287"/>
      <c r="F250" s="287"/>
      <c r="G250" s="287"/>
      <c r="H250" s="287"/>
      <c r="I250" s="302"/>
      <c r="J250" s="303">
        <f t="shared" si="42"/>
        <v>0</v>
      </c>
    </row>
    <row r="251" s="106" customFormat="1" ht="20.1" customHeight="1" spans="1:10">
      <c r="A251" s="279" t="s">
        <v>1808</v>
      </c>
      <c r="B251" s="289" t="s">
        <v>1809</v>
      </c>
      <c r="C251" s="287">
        <v>1014</v>
      </c>
      <c r="D251" s="288">
        <f t="shared" si="39"/>
        <v>5209</v>
      </c>
      <c r="E251" s="287"/>
      <c r="F251" s="287"/>
      <c r="G251" s="287"/>
      <c r="H251" s="287">
        <f>2464+2500</f>
        <v>4964</v>
      </c>
      <c r="I251" s="302">
        <v>245</v>
      </c>
      <c r="J251" s="303">
        <f t="shared" si="42"/>
        <v>513.71</v>
      </c>
    </row>
    <row r="252" s="107" customFormat="1" ht="20.1" customHeight="1" spans="1:10">
      <c r="A252" s="280" t="s">
        <v>536</v>
      </c>
      <c r="B252" s="281" t="s">
        <v>537</v>
      </c>
      <c r="C252" s="282">
        <f t="shared" ref="C252:I252" si="43">C253+C260+C263+C266+C272+C277+C279+C284+C290</f>
        <v>0</v>
      </c>
      <c r="D252" s="282">
        <f t="shared" si="39"/>
        <v>0</v>
      </c>
      <c r="E252" s="282">
        <f t="shared" si="43"/>
        <v>0</v>
      </c>
      <c r="F252" s="282">
        <f t="shared" si="43"/>
        <v>0</v>
      </c>
      <c r="G252" s="282">
        <f t="shared" si="43"/>
        <v>0</v>
      </c>
      <c r="H252" s="282">
        <f t="shared" si="43"/>
        <v>0</v>
      </c>
      <c r="I252" s="282">
        <f t="shared" si="43"/>
        <v>0</v>
      </c>
      <c r="J252" s="296">
        <f t="shared" si="42"/>
        <v>0</v>
      </c>
    </row>
    <row r="253" s="107" customFormat="1" ht="20.1" customHeight="1" spans="1:10">
      <c r="A253" s="283" t="s">
        <v>538</v>
      </c>
      <c r="B253" s="284" t="s">
        <v>1810</v>
      </c>
      <c r="C253" s="285">
        <f t="shared" ref="C253:I253" si="44">SUM(C254:C259)</f>
        <v>0</v>
      </c>
      <c r="D253" s="285">
        <f t="shared" si="39"/>
        <v>0</v>
      </c>
      <c r="E253" s="285">
        <f t="shared" si="44"/>
        <v>0</v>
      </c>
      <c r="F253" s="285">
        <f t="shared" si="44"/>
        <v>0</v>
      </c>
      <c r="G253" s="285">
        <f t="shared" si="44"/>
        <v>0</v>
      </c>
      <c r="H253" s="285">
        <f t="shared" si="44"/>
        <v>0</v>
      </c>
      <c r="I253" s="285">
        <f t="shared" si="44"/>
        <v>0</v>
      </c>
      <c r="J253" s="299"/>
    </row>
    <row r="254" s="107" customFormat="1" ht="20.1" customHeight="1" spans="1:10">
      <c r="A254" s="279" t="s">
        <v>1811</v>
      </c>
      <c r="B254" s="289" t="s">
        <v>1458</v>
      </c>
      <c r="C254" s="288"/>
      <c r="D254" s="288">
        <f t="shared" si="39"/>
        <v>0</v>
      </c>
      <c r="E254" s="288"/>
      <c r="F254" s="288"/>
      <c r="G254" s="288"/>
      <c r="H254" s="288"/>
      <c r="I254" s="288"/>
      <c r="J254" s="318"/>
    </row>
    <row r="255" s="107" customFormat="1" ht="20.1" customHeight="1" spans="1:10">
      <c r="A255" s="279" t="s">
        <v>1812</v>
      </c>
      <c r="B255" s="289" t="s">
        <v>1460</v>
      </c>
      <c r="C255" s="288"/>
      <c r="D255" s="288">
        <f t="shared" si="39"/>
        <v>0</v>
      </c>
      <c r="E255" s="288"/>
      <c r="F255" s="288"/>
      <c r="G255" s="288"/>
      <c r="H255" s="288"/>
      <c r="I255" s="288"/>
      <c r="J255" s="318"/>
    </row>
    <row r="256" s="107" customFormat="1" ht="20.1" customHeight="1" spans="1:10">
      <c r="A256" s="279" t="s">
        <v>1813</v>
      </c>
      <c r="B256" s="286" t="s">
        <v>1462</v>
      </c>
      <c r="C256" s="288"/>
      <c r="D256" s="288">
        <f t="shared" si="39"/>
        <v>0</v>
      </c>
      <c r="E256" s="288"/>
      <c r="F256" s="288"/>
      <c r="G256" s="288"/>
      <c r="H256" s="288"/>
      <c r="I256" s="288"/>
      <c r="J256" s="318"/>
    </row>
    <row r="257" s="107" customFormat="1" ht="20.1" customHeight="1" spans="1:10">
      <c r="A257" s="279" t="s">
        <v>1814</v>
      </c>
      <c r="B257" s="286" t="s">
        <v>1700</v>
      </c>
      <c r="C257" s="288"/>
      <c r="D257" s="288">
        <f t="shared" si="39"/>
        <v>0</v>
      </c>
      <c r="E257" s="288"/>
      <c r="F257" s="288"/>
      <c r="G257" s="288"/>
      <c r="H257" s="288"/>
      <c r="I257" s="288"/>
      <c r="J257" s="318"/>
    </row>
    <row r="258" s="107" customFormat="1" ht="20.1" customHeight="1" spans="1:10">
      <c r="A258" s="279" t="s">
        <v>1815</v>
      </c>
      <c r="B258" s="286" t="s">
        <v>1476</v>
      </c>
      <c r="C258" s="288"/>
      <c r="D258" s="288">
        <f t="shared" si="39"/>
        <v>0</v>
      </c>
      <c r="E258" s="288"/>
      <c r="F258" s="288"/>
      <c r="G258" s="288"/>
      <c r="H258" s="288"/>
      <c r="I258" s="288"/>
      <c r="J258" s="318"/>
    </row>
    <row r="259" s="107" customFormat="1" ht="20.1" customHeight="1" spans="1:10">
      <c r="A259" s="279" t="s">
        <v>1816</v>
      </c>
      <c r="B259" s="286" t="s">
        <v>1817</v>
      </c>
      <c r="C259" s="288"/>
      <c r="D259" s="288">
        <f t="shared" si="39"/>
        <v>0</v>
      </c>
      <c r="E259" s="288"/>
      <c r="F259" s="288"/>
      <c r="G259" s="288"/>
      <c r="H259" s="288"/>
      <c r="I259" s="288"/>
      <c r="J259" s="318"/>
    </row>
    <row r="260" s="107" customFormat="1" ht="20.1" customHeight="1" spans="1:10">
      <c r="A260" s="283" t="s">
        <v>539</v>
      </c>
      <c r="B260" s="284" t="s">
        <v>1818</v>
      </c>
      <c r="C260" s="285">
        <f t="shared" ref="C260:I260" si="45">SUM(C261:C262)</f>
        <v>0</v>
      </c>
      <c r="D260" s="285">
        <f t="shared" si="39"/>
        <v>0</v>
      </c>
      <c r="E260" s="285">
        <f t="shared" si="45"/>
        <v>0</v>
      </c>
      <c r="F260" s="285">
        <f t="shared" si="45"/>
        <v>0</v>
      </c>
      <c r="G260" s="285">
        <f t="shared" si="45"/>
        <v>0</v>
      </c>
      <c r="H260" s="285">
        <f t="shared" si="45"/>
        <v>0</v>
      </c>
      <c r="I260" s="285">
        <f t="shared" si="45"/>
        <v>0</v>
      </c>
      <c r="J260" s="299"/>
    </row>
    <row r="261" s="107" customFormat="1" ht="20.1" customHeight="1" spans="1:10">
      <c r="A261" s="279" t="s">
        <v>1819</v>
      </c>
      <c r="B261" s="289" t="s">
        <v>1820</v>
      </c>
      <c r="C261" s="288"/>
      <c r="D261" s="288">
        <f t="shared" si="39"/>
        <v>0</v>
      </c>
      <c r="E261" s="288"/>
      <c r="F261" s="288"/>
      <c r="G261" s="288"/>
      <c r="H261" s="288"/>
      <c r="I261" s="288"/>
      <c r="J261" s="318"/>
    </row>
    <row r="262" s="107" customFormat="1" ht="20.1" customHeight="1" spans="1:10">
      <c r="A262" s="279" t="s">
        <v>1821</v>
      </c>
      <c r="B262" s="289" t="s">
        <v>1822</v>
      </c>
      <c r="C262" s="288"/>
      <c r="D262" s="288">
        <f t="shared" si="39"/>
        <v>0</v>
      </c>
      <c r="E262" s="288"/>
      <c r="F262" s="288"/>
      <c r="G262" s="288"/>
      <c r="H262" s="288"/>
      <c r="I262" s="288"/>
      <c r="J262" s="318"/>
    </row>
    <row r="263" s="107" customFormat="1" ht="20.1" customHeight="1" spans="1:10">
      <c r="A263" s="283" t="s">
        <v>540</v>
      </c>
      <c r="B263" s="284" t="s">
        <v>1823</v>
      </c>
      <c r="C263" s="285">
        <f t="shared" ref="C263:I263" si="46">SUM(C264:C265)</f>
        <v>0</v>
      </c>
      <c r="D263" s="285">
        <f t="shared" si="39"/>
        <v>0</v>
      </c>
      <c r="E263" s="285">
        <f t="shared" si="46"/>
        <v>0</v>
      </c>
      <c r="F263" s="285">
        <f t="shared" si="46"/>
        <v>0</v>
      </c>
      <c r="G263" s="285">
        <f t="shared" si="46"/>
        <v>0</v>
      </c>
      <c r="H263" s="285">
        <f t="shared" si="46"/>
        <v>0</v>
      </c>
      <c r="I263" s="285">
        <f t="shared" si="46"/>
        <v>0</v>
      </c>
      <c r="J263" s="299"/>
    </row>
    <row r="264" s="107" customFormat="1" ht="20.1" customHeight="1" spans="1:10">
      <c r="A264" s="279" t="s">
        <v>1824</v>
      </c>
      <c r="B264" s="289" t="s">
        <v>1825</v>
      </c>
      <c r="C264" s="288"/>
      <c r="D264" s="288">
        <f t="shared" si="39"/>
        <v>0</v>
      </c>
      <c r="E264" s="288"/>
      <c r="F264" s="288"/>
      <c r="G264" s="288"/>
      <c r="H264" s="288"/>
      <c r="I264" s="288"/>
      <c r="J264" s="318"/>
    </row>
    <row r="265" s="107" customFormat="1" ht="20.1" customHeight="1" spans="1:10">
      <c r="A265" s="279" t="s">
        <v>1826</v>
      </c>
      <c r="B265" s="289" t="s">
        <v>1827</v>
      </c>
      <c r="C265" s="288"/>
      <c r="D265" s="288">
        <f t="shared" si="39"/>
        <v>0</v>
      </c>
      <c r="E265" s="288"/>
      <c r="F265" s="288"/>
      <c r="G265" s="288"/>
      <c r="H265" s="288"/>
      <c r="I265" s="288"/>
      <c r="J265" s="318"/>
    </row>
    <row r="266" s="107" customFormat="1" ht="20.1" customHeight="1" spans="1:10">
      <c r="A266" s="283" t="s">
        <v>541</v>
      </c>
      <c r="B266" s="284" t="s">
        <v>1828</v>
      </c>
      <c r="C266" s="285">
        <f t="shared" ref="C266:I266" si="47">SUM(C267:C271)</f>
        <v>0</v>
      </c>
      <c r="D266" s="285">
        <f t="shared" si="39"/>
        <v>0</v>
      </c>
      <c r="E266" s="285">
        <f t="shared" si="47"/>
        <v>0</v>
      </c>
      <c r="F266" s="285">
        <f t="shared" si="47"/>
        <v>0</v>
      </c>
      <c r="G266" s="285">
        <f t="shared" si="47"/>
        <v>0</v>
      </c>
      <c r="H266" s="285">
        <f t="shared" si="47"/>
        <v>0</v>
      </c>
      <c r="I266" s="285">
        <f t="shared" si="47"/>
        <v>0</v>
      </c>
      <c r="J266" s="299"/>
    </row>
    <row r="267" s="107" customFormat="1" ht="20.1" customHeight="1" spans="1:10">
      <c r="A267" s="279" t="s">
        <v>1829</v>
      </c>
      <c r="B267" s="289" t="s">
        <v>1830</v>
      </c>
      <c r="C267" s="288"/>
      <c r="D267" s="288">
        <f t="shared" si="39"/>
        <v>0</v>
      </c>
      <c r="E267" s="288"/>
      <c r="F267" s="288"/>
      <c r="G267" s="288"/>
      <c r="H267" s="288"/>
      <c r="I267" s="288"/>
      <c r="J267" s="318"/>
    </row>
    <row r="268" s="107" customFormat="1" ht="20.1" customHeight="1" spans="1:10">
      <c r="A268" s="279" t="s">
        <v>1831</v>
      </c>
      <c r="B268" s="289" t="s">
        <v>1832</v>
      </c>
      <c r="C268" s="288"/>
      <c r="D268" s="288">
        <f t="shared" si="39"/>
        <v>0</v>
      </c>
      <c r="E268" s="288"/>
      <c r="F268" s="288"/>
      <c r="G268" s="288"/>
      <c r="H268" s="288"/>
      <c r="I268" s="288"/>
      <c r="J268" s="318"/>
    </row>
    <row r="269" s="107" customFormat="1" ht="20.1" customHeight="1" spans="1:10">
      <c r="A269" s="279" t="s">
        <v>1833</v>
      </c>
      <c r="B269" s="286" t="s">
        <v>1834</v>
      </c>
      <c r="C269" s="288"/>
      <c r="D269" s="288">
        <f t="shared" si="39"/>
        <v>0</v>
      </c>
      <c r="E269" s="288"/>
      <c r="F269" s="288"/>
      <c r="G269" s="288"/>
      <c r="H269" s="288"/>
      <c r="I269" s="288"/>
      <c r="J269" s="318"/>
    </row>
    <row r="270" s="107" customFormat="1" ht="20.1" customHeight="1" spans="1:10">
      <c r="A270" s="279" t="s">
        <v>1835</v>
      </c>
      <c r="B270" s="286" t="s">
        <v>1836</v>
      </c>
      <c r="C270" s="288"/>
      <c r="D270" s="288">
        <f t="shared" si="39"/>
        <v>0</v>
      </c>
      <c r="E270" s="288"/>
      <c r="F270" s="288"/>
      <c r="G270" s="288"/>
      <c r="H270" s="288"/>
      <c r="I270" s="288"/>
      <c r="J270" s="318"/>
    </row>
    <row r="271" s="107" customFormat="1" ht="20.1" customHeight="1" spans="1:10">
      <c r="A271" s="279" t="s">
        <v>1837</v>
      </c>
      <c r="B271" s="286" t="s">
        <v>1838</v>
      </c>
      <c r="C271" s="288"/>
      <c r="D271" s="288">
        <f t="shared" si="39"/>
        <v>0</v>
      </c>
      <c r="E271" s="288"/>
      <c r="F271" s="288"/>
      <c r="G271" s="288"/>
      <c r="H271" s="288"/>
      <c r="I271" s="288"/>
      <c r="J271" s="318"/>
    </row>
    <row r="272" s="107" customFormat="1" ht="20.1" customHeight="1" spans="1:10">
      <c r="A272" s="283" t="s">
        <v>542</v>
      </c>
      <c r="B272" s="284" t="s">
        <v>1839</v>
      </c>
      <c r="C272" s="285">
        <f t="shared" ref="C272:I272" si="48">SUM(C273:C276)</f>
        <v>0</v>
      </c>
      <c r="D272" s="285">
        <f t="shared" si="39"/>
        <v>0</v>
      </c>
      <c r="E272" s="285">
        <f t="shared" si="48"/>
        <v>0</v>
      </c>
      <c r="F272" s="285">
        <f t="shared" si="48"/>
        <v>0</v>
      </c>
      <c r="G272" s="285">
        <f t="shared" si="48"/>
        <v>0</v>
      </c>
      <c r="H272" s="285">
        <f t="shared" si="48"/>
        <v>0</v>
      </c>
      <c r="I272" s="285">
        <f t="shared" si="48"/>
        <v>0</v>
      </c>
      <c r="J272" s="299"/>
    </row>
    <row r="273" s="107" customFormat="1" ht="20.1" customHeight="1" spans="1:10">
      <c r="A273" s="279" t="s">
        <v>1840</v>
      </c>
      <c r="B273" s="289" t="s">
        <v>1841</v>
      </c>
      <c r="C273" s="288"/>
      <c r="D273" s="288">
        <f t="shared" si="39"/>
        <v>0</v>
      </c>
      <c r="E273" s="288"/>
      <c r="F273" s="288"/>
      <c r="G273" s="288"/>
      <c r="H273" s="288"/>
      <c r="I273" s="288"/>
      <c r="J273" s="318"/>
    </row>
    <row r="274" s="107" customFormat="1" ht="20.1" customHeight="1" spans="1:10">
      <c r="A274" s="279" t="s">
        <v>1842</v>
      </c>
      <c r="B274" s="289" t="s">
        <v>1843</v>
      </c>
      <c r="C274" s="288"/>
      <c r="D274" s="288">
        <f t="shared" si="39"/>
        <v>0</v>
      </c>
      <c r="E274" s="288"/>
      <c r="F274" s="288"/>
      <c r="G274" s="288"/>
      <c r="H274" s="288"/>
      <c r="I274" s="288"/>
      <c r="J274" s="318"/>
    </row>
    <row r="275" s="107" customFormat="1" ht="20.1" customHeight="1" spans="1:10">
      <c r="A275" s="279" t="s">
        <v>1844</v>
      </c>
      <c r="B275" s="286" t="s">
        <v>1845</v>
      </c>
      <c r="C275" s="288"/>
      <c r="D275" s="288">
        <f t="shared" si="39"/>
        <v>0</v>
      </c>
      <c r="E275" s="288"/>
      <c r="F275" s="288"/>
      <c r="G275" s="288"/>
      <c r="H275" s="288"/>
      <c r="I275" s="288"/>
      <c r="J275" s="318"/>
    </row>
    <row r="276" s="107" customFormat="1" ht="20.1" customHeight="1" spans="1:10">
      <c r="A276" s="279" t="s">
        <v>1846</v>
      </c>
      <c r="B276" s="286" t="s">
        <v>1847</v>
      </c>
      <c r="C276" s="288"/>
      <c r="D276" s="288">
        <f t="shared" si="39"/>
        <v>0</v>
      </c>
      <c r="E276" s="288"/>
      <c r="F276" s="288"/>
      <c r="G276" s="288"/>
      <c r="H276" s="288"/>
      <c r="I276" s="288"/>
      <c r="J276" s="318"/>
    </row>
    <row r="277" s="107" customFormat="1" ht="20.1" customHeight="1" spans="1:10">
      <c r="A277" s="283" t="s">
        <v>543</v>
      </c>
      <c r="B277" s="284" t="s">
        <v>1848</v>
      </c>
      <c r="C277" s="285">
        <f t="shared" ref="C277:I277" si="49">SUM(C278:C278)</f>
        <v>0</v>
      </c>
      <c r="D277" s="285">
        <f t="shared" si="39"/>
        <v>0</v>
      </c>
      <c r="E277" s="285">
        <f t="shared" si="49"/>
        <v>0</v>
      </c>
      <c r="F277" s="285">
        <f t="shared" si="49"/>
        <v>0</v>
      </c>
      <c r="G277" s="285">
        <f t="shared" si="49"/>
        <v>0</v>
      </c>
      <c r="H277" s="285">
        <f t="shared" si="49"/>
        <v>0</v>
      </c>
      <c r="I277" s="285">
        <f t="shared" si="49"/>
        <v>0</v>
      </c>
      <c r="J277" s="299"/>
    </row>
    <row r="278" s="107" customFormat="1" ht="20.1" customHeight="1" spans="1:10">
      <c r="A278" s="279" t="s">
        <v>1849</v>
      </c>
      <c r="B278" s="289" t="s">
        <v>1850</v>
      </c>
      <c r="C278" s="288"/>
      <c r="D278" s="288">
        <f t="shared" si="39"/>
        <v>0</v>
      </c>
      <c r="E278" s="288"/>
      <c r="F278" s="288"/>
      <c r="G278" s="288"/>
      <c r="H278" s="288"/>
      <c r="I278" s="288"/>
      <c r="J278" s="318"/>
    </row>
    <row r="279" s="107" customFormat="1" ht="20.1" customHeight="1" spans="1:10">
      <c r="A279" s="283" t="s">
        <v>544</v>
      </c>
      <c r="B279" s="284" t="s">
        <v>1851</v>
      </c>
      <c r="C279" s="285">
        <f t="shared" ref="C279:I279" si="50">SUM(C280:C283)</f>
        <v>0</v>
      </c>
      <c r="D279" s="285">
        <f t="shared" si="39"/>
        <v>0</v>
      </c>
      <c r="E279" s="285">
        <f t="shared" si="50"/>
        <v>0</v>
      </c>
      <c r="F279" s="285">
        <f t="shared" si="50"/>
        <v>0</v>
      </c>
      <c r="G279" s="285">
        <f t="shared" si="50"/>
        <v>0</v>
      </c>
      <c r="H279" s="285">
        <f t="shared" si="50"/>
        <v>0</v>
      </c>
      <c r="I279" s="285">
        <f t="shared" si="50"/>
        <v>0</v>
      </c>
      <c r="J279" s="299"/>
    </row>
    <row r="280" s="107" customFormat="1" ht="20.1" customHeight="1" spans="1:10">
      <c r="A280" s="279" t="s">
        <v>1852</v>
      </c>
      <c r="B280" s="289" t="s">
        <v>1853</v>
      </c>
      <c r="C280" s="288"/>
      <c r="D280" s="288">
        <f t="shared" si="39"/>
        <v>0</v>
      </c>
      <c r="E280" s="288"/>
      <c r="F280" s="288"/>
      <c r="G280" s="288"/>
      <c r="H280" s="288"/>
      <c r="I280" s="288"/>
      <c r="J280" s="318"/>
    </row>
    <row r="281" s="107" customFormat="1" ht="20.1" customHeight="1" spans="1:10">
      <c r="A281" s="279" t="s">
        <v>1854</v>
      </c>
      <c r="B281" s="289" t="s">
        <v>1855</v>
      </c>
      <c r="C281" s="288"/>
      <c r="D281" s="288">
        <f t="shared" si="39"/>
        <v>0</v>
      </c>
      <c r="E281" s="288"/>
      <c r="F281" s="288"/>
      <c r="G281" s="288"/>
      <c r="H281" s="288"/>
      <c r="I281" s="288"/>
      <c r="J281" s="318"/>
    </row>
    <row r="282" s="107" customFormat="1" ht="20.1" customHeight="1" spans="1:10">
      <c r="A282" s="279" t="s">
        <v>1856</v>
      </c>
      <c r="B282" s="286" t="s">
        <v>1857</v>
      </c>
      <c r="C282" s="288"/>
      <c r="D282" s="288">
        <f t="shared" si="39"/>
        <v>0</v>
      </c>
      <c r="E282" s="288"/>
      <c r="F282" s="288"/>
      <c r="G282" s="288"/>
      <c r="H282" s="288"/>
      <c r="I282" s="288"/>
      <c r="J282" s="318"/>
    </row>
    <row r="283" s="107" customFormat="1" ht="20.1" customHeight="1" spans="1:10">
      <c r="A283" s="279" t="s">
        <v>1858</v>
      </c>
      <c r="B283" s="286" t="s">
        <v>819</v>
      </c>
      <c r="C283" s="288"/>
      <c r="D283" s="288">
        <f t="shared" si="39"/>
        <v>0</v>
      </c>
      <c r="E283" s="288"/>
      <c r="F283" s="288"/>
      <c r="G283" s="288"/>
      <c r="H283" s="288"/>
      <c r="I283" s="288"/>
      <c r="J283" s="318"/>
    </row>
    <row r="284" s="107" customFormat="1" ht="20.1" customHeight="1" spans="1:10">
      <c r="A284" s="283" t="s">
        <v>545</v>
      </c>
      <c r="B284" s="284" t="s">
        <v>1859</v>
      </c>
      <c r="C284" s="285">
        <f t="shared" ref="C284:I284" si="51">SUM(C285:C289)</f>
        <v>0</v>
      </c>
      <c r="D284" s="285">
        <f t="shared" si="39"/>
        <v>0</v>
      </c>
      <c r="E284" s="285">
        <f t="shared" si="51"/>
        <v>0</v>
      </c>
      <c r="F284" s="285">
        <f t="shared" si="51"/>
        <v>0</v>
      </c>
      <c r="G284" s="285">
        <f t="shared" si="51"/>
        <v>0</v>
      </c>
      <c r="H284" s="285">
        <f t="shared" si="51"/>
        <v>0</v>
      </c>
      <c r="I284" s="285">
        <f t="shared" si="51"/>
        <v>0</v>
      </c>
      <c r="J284" s="299"/>
    </row>
    <row r="285" s="107" customFormat="1" ht="20.1" customHeight="1" spans="1:10">
      <c r="A285" s="279" t="s">
        <v>1860</v>
      </c>
      <c r="B285" s="289" t="s">
        <v>1458</v>
      </c>
      <c r="C285" s="288"/>
      <c r="D285" s="288">
        <f t="shared" si="39"/>
        <v>0</v>
      </c>
      <c r="E285" s="288"/>
      <c r="F285" s="288"/>
      <c r="G285" s="288"/>
      <c r="H285" s="288"/>
      <c r="I285" s="288"/>
      <c r="J285" s="318"/>
    </row>
    <row r="286" s="107" customFormat="1" ht="20.1" customHeight="1" spans="1:10">
      <c r="A286" s="279" t="s">
        <v>1861</v>
      </c>
      <c r="B286" s="289" t="s">
        <v>1460</v>
      </c>
      <c r="C286" s="288"/>
      <c r="D286" s="288">
        <f t="shared" si="39"/>
        <v>0</v>
      </c>
      <c r="E286" s="288"/>
      <c r="F286" s="288"/>
      <c r="G286" s="288"/>
      <c r="H286" s="288"/>
      <c r="I286" s="288"/>
      <c r="J286" s="318"/>
    </row>
    <row r="287" s="107" customFormat="1" ht="20.1" customHeight="1" spans="1:10">
      <c r="A287" s="279" t="s">
        <v>1862</v>
      </c>
      <c r="B287" s="286" t="s">
        <v>1462</v>
      </c>
      <c r="C287" s="288"/>
      <c r="D287" s="288">
        <f t="shared" si="39"/>
        <v>0</v>
      </c>
      <c r="E287" s="288"/>
      <c r="F287" s="288"/>
      <c r="G287" s="288"/>
      <c r="H287" s="288"/>
      <c r="I287" s="288"/>
      <c r="J287" s="318"/>
    </row>
    <row r="288" s="107" customFormat="1" ht="20.1" customHeight="1" spans="1:10">
      <c r="A288" s="279" t="s">
        <v>1863</v>
      </c>
      <c r="B288" s="286" t="s">
        <v>1476</v>
      </c>
      <c r="C288" s="288"/>
      <c r="D288" s="288">
        <f t="shared" si="39"/>
        <v>0</v>
      </c>
      <c r="E288" s="288"/>
      <c r="F288" s="288"/>
      <c r="G288" s="288"/>
      <c r="H288" s="288"/>
      <c r="I288" s="288"/>
      <c r="J288" s="318"/>
    </row>
    <row r="289" s="107" customFormat="1" ht="20.1" customHeight="1" spans="1:10">
      <c r="A289" s="279" t="s">
        <v>1864</v>
      </c>
      <c r="B289" s="286" t="s">
        <v>1865</v>
      </c>
      <c r="C289" s="288"/>
      <c r="D289" s="288">
        <f t="shared" si="39"/>
        <v>0</v>
      </c>
      <c r="E289" s="288"/>
      <c r="F289" s="288"/>
      <c r="G289" s="288"/>
      <c r="H289" s="288"/>
      <c r="I289" s="288"/>
      <c r="J289" s="318"/>
    </row>
    <row r="290" s="107" customFormat="1" ht="20.1" customHeight="1" spans="1:10">
      <c r="A290" s="283" t="s">
        <v>546</v>
      </c>
      <c r="B290" s="284" t="s">
        <v>1866</v>
      </c>
      <c r="C290" s="285">
        <f t="shared" ref="C290:I290" si="52">SUM(C291:C291)</f>
        <v>0</v>
      </c>
      <c r="D290" s="285">
        <f t="shared" si="39"/>
        <v>0</v>
      </c>
      <c r="E290" s="285">
        <f t="shared" si="52"/>
        <v>0</v>
      </c>
      <c r="F290" s="285">
        <f t="shared" si="52"/>
        <v>0</v>
      </c>
      <c r="G290" s="285">
        <f t="shared" si="52"/>
        <v>0</v>
      </c>
      <c r="H290" s="285">
        <f t="shared" si="52"/>
        <v>0</v>
      </c>
      <c r="I290" s="285">
        <f t="shared" si="52"/>
        <v>0</v>
      </c>
      <c r="J290" s="299"/>
    </row>
    <row r="291" s="107" customFormat="1" ht="20.1" customHeight="1" spans="1:10">
      <c r="A291" s="279" t="s">
        <v>1867</v>
      </c>
      <c r="B291" s="289" t="s">
        <v>1868</v>
      </c>
      <c r="C291" s="288"/>
      <c r="D291" s="288">
        <f t="shared" si="39"/>
        <v>0</v>
      </c>
      <c r="E291" s="288"/>
      <c r="F291" s="288"/>
      <c r="G291" s="288"/>
      <c r="H291" s="288"/>
      <c r="I291" s="288"/>
      <c r="J291" s="318"/>
    </row>
    <row r="292" s="107" customFormat="1" ht="20.1" customHeight="1" spans="1:10">
      <c r="A292" s="280" t="s">
        <v>547</v>
      </c>
      <c r="B292" s="281" t="s">
        <v>548</v>
      </c>
      <c r="C292" s="282">
        <f t="shared" ref="C292:I292" si="53">C293+C297+C299+C301+C309</f>
        <v>163</v>
      </c>
      <c r="D292" s="282">
        <f t="shared" si="39"/>
        <v>109</v>
      </c>
      <c r="E292" s="282">
        <f t="shared" si="53"/>
        <v>66</v>
      </c>
      <c r="F292" s="282">
        <f t="shared" si="53"/>
        <v>0</v>
      </c>
      <c r="G292" s="282">
        <f t="shared" si="53"/>
        <v>23</v>
      </c>
      <c r="H292" s="282">
        <f t="shared" si="53"/>
        <v>0</v>
      </c>
      <c r="I292" s="282">
        <f t="shared" si="53"/>
        <v>20</v>
      </c>
      <c r="J292" s="296">
        <f t="shared" ref="J292:J296" si="54">ROUND(IF(C292=0,IF(D292=0,0,1),IF(D292=0,-1,D292/C292)),4)*100</f>
        <v>66.87</v>
      </c>
    </row>
    <row r="293" s="107" customFormat="1" ht="20.1" customHeight="1" spans="1:10">
      <c r="A293" s="283" t="s">
        <v>549</v>
      </c>
      <c r="B293" s="284" t="s">
        <v>1869</v>
      </c>
      <c r="C293" s="285">
        <f t="shared" ref="C293:I293" si="55">SUM(C294:C296)</f>
        <v>0</v>
      </c>
      <c r="D293" s="285">
        <f t="shared" si="39"/>
        <v>0</v>
      </c>
      <c r="E293" s="285">
        <f t="shared" si="55"/>
        <v>0</v>
      </c>
      <c r="F293" s="285">
        <f t="shared" si="55"/>
        <v>0</v>
      </c>
      <c r="G293" s="285">
        <f t="shared" si="55"/>
        <v>0</v>
      </c>
      <c r="H293" s="285">
        <f t="shared" si="55"/>
        <v>0</v>
      </c>
      <c r="I293" s="285">
        <f t="shared" si="55"/>
        <v>0</v>
      </c>
      <c r="J293" s="299">
        <f t="shared" si="54"/>
        <v>0</v>
      </c>
    </row>
    <row r="294" s="106" customFormat="1" ht="20.1" customHeight="1" spans="1:10">
      <c r="A294" s="279" t="s">
        <v>1870</v>
      </c>
      <c r="B294" s="289" t="s">
        <v>1871</v>
      </c>
      <c r="C294" s="287"/>
      <c r="D294" s="288">
        <f t="shared" si="39"/>
        <v>0</v>
      </c>
      <c r="E294" s="287"/>
      <c r="F294" s="287"/>
      <c r="G294" s="287"/>
      <c r="H294" s="287"/>
      <c r="I294" s="302"/>
      <c r="J294" s="303">
        <f t="shared" si="54"/>
        <v>0</v>
      </c>
    </row>
    <row r="295" s="106" customFormat="1" ht="20.1" customHeight="1" spans="1:10">
      <c r="A295" s="279" t="s">
        <v>1872</v>
      </c>
      <c r="B295" s="286" t="s">
        <v>1873</v>
      </c>
      <c r="C295" s="287">
        <v>0</v>
      </c>
      <c r="D295" s="288">
        <f t="shared" si="39"/>
        <v>0</v>
      </c>
      <c r="E295" s="287"/>
      <c r="F295" s="287"/>
      <c r="G295" s="287"/>
      <c r="H295" s="287"/>
      <c r="I295" s="302"/>
      <c r="J295" s="303">
        <f t="shared" si="54"/>
        <v>0</v>
      </c>
    </row>
    <row r="296" s="106" customFormat="1" ht="20.1" customHeight="1" spans="1:10">
      <c r="A296" s="279" t="s">
        <v>1874</v>
      </c>
      <c r="B296" s="286" t="s">
        <v>1875</v>
      </c>
      <c r="C296" s="287"/>
      <c r="D296" s="288">
        <f t="shared" si="39"/>
        <v>0</v>
      </c>
      <c r="E296" s="287"/>
      <c r="F296" s="287"/>
      <c r="G296" s="287"/>
      <c r="H296" s="287"/>
      <c r="I296" s="302"/>
      <c r="J296" s="303">
        <f t="shared" si="54"/>
        <v>0</v>
      </c>
    </row>
    <row r="297" s="107" customFormat="1" ht="20.1" customHeight="1" spans="1:10">
      <c r="A297" s="283" t="s">
        <v>1876</v>
      </c>
      <c r="B297" s="284" t="s">
        <v>1877</v>
      </c>
      <c r="C297" s="285">
        <f t="shared" ref="C297:I297" si="56">SUM(C298:C298)</f>
        <v>0</v>
      </c>
      <c r="D297" s="285">
        <f t="shared" si="39"/>
        <v>0</v>
      </c>
      <c r="E297" s="285">
        <f t="shared" si="56"/>
        <v>0</v>
      </c>
      <c r="F297" s="285">
        <f t="shared" si="56"/>
        <v>0</v>
      </c>
      <c r="G297" s="285">
        <f t="shared" si="56"/>
        <v>0</v>
      </c>
      <c r="H297" s="285">
        <f t="shared" si="56"/>
        <v>0</v>
      </c>
      <c r="I297" s="285">
        <f t="shared" si="56"/>
        <v>0</v>
      </c>
      <c r="J297" s="299"/>
    </row>
    <row r="298" s="107" customFormat="1" ht="20.1" customHeight="1" spans="1:10">
      <c r="A298" s="279" t="s">
        <v>1876</v>
      </c>
      <c r="B298" s="289" t="s">
        <v>1878</v>
      </c>
      <c r="C298" s="288"/>
      <c r="D298" s="288">
        <f t="shared" si="39"/>
        <v>0</v>
      </c>
      <c r="E298" s="288"/>
      <c r="F298" s="288"/>
      <c r="G298" s="288"/>
      <c r="H298" s="288"/>
      <c r="I298" s="288"/>
      <c r="J298" s="318"/>
    </row>
    <row r="299" s="107" customFormat="1" ht="20.1" customHeight="1" spans="1:10">
      <c r="A299" s="283" t="s">
        <v>551</v>
      </c>
      <c r="B299" s="284" t="s">
        <v>1879</v>
      </c>
      <c r="C299" s="285">
        <f t="shared" ref="C299:I299" si="57">SUM(C300:C300)</f>
        <v>0</v>
      </c>
      <c r="D299" s="285">
        <f t="shared" si="39"/>
        <v>0</v>
      </c>
      <c r="E299" s="285">
        <f t="shared" si="57"/>
        <v>0</v>
      </c>
      <c r="F299" s="285">
        <f t="shared" si="57"/>
        <v>0</v>
      </c>
      <c r="G299" s="285">
        <f t="shared" si="57"/>
        <v>0</v>
      </c>
      <c r="H299" s="285">
        <f t="shared" si="57"/>
        <v>0</v>
      </c>
      <c r="I299" s="285">
        <f t="shared" si="57"/>
        <v>0</v>
      </c>
      <c r="J299" s="299"/>
    </row>
    <row r="300" s="107" customFormat="1" ht="20.1" customHeight="1" spans="1:10">
      <c r="A300" s="279" t="s">
        <v>1880</v>
      </c>
      <c r="B300" s="289" t="s">
        <v>1881</v>
      </c>
      <c r="C300" s="288"/>
      <c r="D300" s="288">
        <f t="shared" si="39"/>
        <v>0</v>
      </c>
      <c r="E300" s="288"/>
      <c r="F300" s="288"/>
      <c r="G300" s="288"/>
      <c r="H300" s="288"/>
      <c r="I300" s="288"/>
      <c r="J300" s="318"/>
    </row>
    <row r="301" s="107" customFormat="1" ht="20.1" customHeight="1" spans="1:10">
      <c r="A301" s="283" t="s">
        <v>552</v>
      </c>
      <c r="B301" s="284" t="s">
        <v>1882</v>
      </c>
      <c r="C301" s="285">
        <f t="shared" ref="C301:I301" si="58">SUM(C302:C308)</f>
        <v>153</v>
      </c>
      <c r="D301" s="285">
        <f t="shared" si="39"/>
        <v>109</v>
      </c>
      <c r="E301" s="285">
        <f t="shared" si="58"/>
        <v>66</v>
      </c>
      <c r="F301" s="285">
        <f t="shared" si="58"/>
        <v>0</v>
      </c>
      <c r="G301" s="285">
        <f t="shared" si="58"/>
        <v>23</v>
      </c>
      <c r="H301" s="285">
        <f t="shared" si="58"/>
        <v>0</v>
      </c>
      <c r="I301" s="285">
        <f t="shared" si="58"/>
        <v>20</v>
      </c>
      <c r="J301" s="299">
        <f t="shared" ref="J301:J309" si="59">ROUND(IF(C301=0,IF(D301=0,0,1),IF(D301=0,-1,D301/C301)),4)*100</f>
        <v>71.24</v>
      </c>
    </row>
    <row r="302" s="106" customFormat="1" ht="20.1" customHeight="1" spans="1:10">
      <c r="A302" s="279" t="s">
        <v>1883</v>
      </c>
      <c r="B302" s="289" t="s">
        <v>1884</v>
      </c>
      <c r="C302" s="287">
        <v>42</v>
      </c>
      <c r="D302" s="288">
        <f t="shared" si="39"/>
        <v>36</v>
      </c>
      <c r="E302" s="287"/>
      <c r="F302" s="287"/>
      <c r="G302" s="287">
        <v>23</v>
      </c>
      <c r="H302" s="287"/>
      <c r="I302" s="302">
        <v>13</v>
      </c>
      <c r="J302" s="303">
        <f t="shared" si="59"/>
        <v>85.71</v>
      </c>
    </row>
    <row r="303" s="106" customFormat="1" ht="20.1" customHeight="1" spans="1:10">
      <c r="A303" s="279" t="s">
        <v>1885</v>
      </c>
      <c r="B303" s="286" t="s">
        <v>1886</v>
      </c>
      <c r="C303" s="287"/>
      <c r="D303" s="288">
        <f t="shared" si="39"/>
        <v>0</v>
      </c>
      <c r="E303" s="287"/>
      <c r="F303" s="287"/>
      <c r="G303" s="287"/>
      <c r="H303" s="287"/>
      <c r="I303" s="302"/>
      <c r="J303" s="303">
        <f t="shared" si="59"/>
        <v>0</v>
      </c>
    </row>
    <row r="304" s="106" customFormat="1" ht="20.1" customHeight="1" spans="1:10">
      <c r="A304" s="279" t="s">
        <v>1887</v>
      </c>
      <c r="B304" s="286" t="s">
        <v>1888</v>
      </c>
      <c r="C304" s="287">
        <v>4</v>
      </c>
      <c r="D304" s="288">
        <f t="shared" si="39"/>
        <v>1</v>
      </c>
      <c r="E304" s="287"/>
      <c r="F304" s="287"/>
      <c r="G304" s="287"/>
      <c r="H304" s="287"/>
      <c r="I304" s="302">
        <v>1</v>
      </c>
      <c r="J304" s="303">
        <f t="shared" si="59"/>
        <v>25</v>
      </c>
    </row>
    <row r="305" s="106" customFormat="1" ht="20.1" customHeight="1" spans="1:10">
      <c r="A305" s="279" t="s">
        <v>1889</v>
      </c>
      <c r="B305" s="286" t="s">
        <v>1890</v>
      </c>
      <c r="C305" s="287"/>
      <c r="D305" s="288">
        <f t="shared" si="39"/>
        <v>0</v>
      </c>
      <c r="E305" s="287"/>
      <c r="F305" s="287"/>
      <c r="G305" s="287"/>
      <c r="H305" s="287"/>
      <c r="I305" s="302"/>
      <c r="J305" s="303">
        <f t="shared" si="59"/>
        <v>0</v>
      </c>
    </row>
    <row r="306" s="106" customFormat="1" ht="20.1" customHeight="1" spans="1:10">
      <c r="A306" s="279" t="s">
        <v>1891</v>
      </c>
      <c r="B306" s="289" t="s">
        <v>1892</v>
      </c>
      <c r="C306" s="287">
        <v>107</v>
      </c>
      <c r="D306" s="288">
        <f t="shared" ref="D306:D321" si="60">SUM(E306:I306)</f>
        <v>72</v>
      </c>
      <c r="E306" s="287">
        <v>66</v>
      </c>
      <c r="F306" s="287"/>
      <c r="G306" s="287"/>
      <c r="H306" s="287"/>
      <c r="I306" s="302">
        <v>6</v>
      </c>
      <c r="J306" s="303">
        <f t="shared" si="59"/>
        <v>67.29</v>
      </c>
    </row>
    <row r="307" s="106" customFormat="1" ht="20.1" customHeight="1" spans="1:10">
      <c r="A307" s="279" t="s">
        <v>1893</v>
      </c>
      <c r="B307" s="289" t="s">
        <v>1894</v>
      </c>
      <c r="C307" s="287"/>
      <c r="D307" s="288">
        <f t="shared" si="60"/>
        <v>0</v>
      </c>
      <c r="E307" s="287"/>
      <c r="F307" s="287"/>
      <c r="G307" s="287"/>
      <c r="H307" s="287"/>
      <c r="I307" s="302"/>
      <c r="J307" s="303">
        <f t="shared" si="59"/>
        <v>0</v>
      </c>
    </row>
    <row r="308" s="106" customFormat="1" ht="20.1" customHeight="1" spans="1:10">
      <c r="A308" s="279" t="s">
        <v>1895</v>
      </c>
      <c r="B308" s="289" t="s">
        <v>1896</v>
      </c>
      <c r="C308" s="287"/>
      <c r="D308" s="288">
        <f t="shared" si="60"/>
        <v>0</v>
      </c>
      <c r="E308" s="287"/>
      <c r="F308" s="287"/>
      <c r="G308" s="287"/>
      <c r="H308" s="287"/>
      <c r="I308" s="302"/>
      <c r="J308" s="303">
        <f t="shared" si="59"/>
        <v>0</v>
      </c>
    </row>
    <row r="309" s="107" customFormat="1" ht="20.1" customHeight="1" spans="1:10">
      <c r="A309" s="283" t="s">
        <v>553</v>
      </c>
      <c r="B309" s="284" t="s">
        <v>1897</v>
      </c>
      <c r="C309" s="285">
        <f t="shared" ref="C309:I309" si="61">SUM(C310)</f>
        <v>10</v>
      </c>
      <c r="D309" s="285">
        <f t="shared" si="60"/>
        <v>0</v>
      </c>
      <c r="E309" s="285">
        <f t="shared" si="61"/>
        <v>0</v>
      </c>
      <c r="F309" s="285">
        <f t="shared" si="61"/>
        <v>0</v>
      </c>
      <c r="G309" s="285">
        <f t="shared" si="61"/>
        <v>0</v>
      </c>
      <c r="H309" s="285">
        <f t="shared" si="61"/>
        <v>0</v>
      </c>
      <c r="I309" s="285">
        <f t="shared" si="61"/>
        <v>0</v>
      </c>
      <c r="J309" s="299">
        <f t="shared" si="59"/>
        <v>-100</v>
      </c>
    </row>
    <row r="310" s="106" customFormat="1" ht="20.1" customHeight="1" spans="1:10">
      <c r="A310" s="279" t="s">
        <v>1898</v>
      </c>
      <c r="B310" s="286" t="s">
        <v>1899</v>
      </c>
      <c r="C310" s="287">
        <v>10</v>
      </c>
      <c r="D310" s="287">
        <f t="shared" si="60"/>
        <v>0</v>
      </c>
      <c r="E310" s="287"/>
      <c r="F310" s="287"/>
      <c r="G310" s="287"/>
      <c r="H310" s="287"/>
      <c r="I310" s="287"/>
      <c r="J310" s="303"/>
    </row>
    <row r="311" s="107" customFormat="1" ht="20.1" customHeight="1" spans="1:10">
      <c r="A311" s="280" t="s">
        <v>554</v>
      </c>
      <c r="B311" s="281" t="s">
        <v>555</v>
      </c>
      <c r="C311" s="282">
        <f t="shared" ref="C311:I311" si="62">C312+C315+C326+C333+C341+C350+C364+C374+C384+C392+C398</f>
        <v>9349</v>
      </c>
      <c r="D311" s="282">
        <f t="shared" si="60"/>
        <v>8962</v>
      </c>
      <c r="E311" s="282">
        <f t="shared" si="62"/>
        <v>1200</v>
      </c>
      <c r="F311" s="282">
        <f t="shared" si="62"/>
        <v>0</v>
      </c>
      <c r="G311" s="282">
        <f t="shared" si="62"/>
        <v>124</v>
      </c>
      <c r="H311" s="282">
        <f t="shared" si="62"/>
        <v>0</v>
      </c>
      <c r="I311" s="282">
        <f t="shared" si="62"/>
        <v>7638</v>
      </c>
      <c r="J311" s="296">
        <f t="shared" ref="J311:J321" si="63">ROUND(IF(C311=0,IF(D311=0,0,1),IF(D311=0,-1,D311/C311)),4)*100</f>
        <v>95.86</v>
      </c>
    </row>
    <row r="312" s="107" customFormat="1" ht="20.1" customHeight="1" spans="1:10">
      <c r="A312" s="283" t="s">
        <v>556</v>
      </c>
      <c r="B312" s="284" t="s">
        <v>1900</v>
      </c>
      <c r="C312" s="285">
        <f t="shared" ref="C312:I312" si="64">SUM(C313:C314)</f>
        <v>28</v>
      </c>
      <c r="D312" s="285">
        <f t="shared" si="60"/>
        <v>12</v>
      </c>
      <c r="E312" s="285">
        <f t="shared" si="64"/>
        <v>0</v>
      </c>
      <c r="F312" s="285">
        <f t="shared" si="64"/>
        <v>0</v>
      </c>
      <c r="G312" s="285">
        <f t="shared" si="64"/>
        <v>0</v>
      </c>
      <c r="H312" s="285">
        <f t="shared" si="64"/>
        <v>0</v>
      </c>
      <c r="I312" s="285">
        <f t="shared" si="64"/>
        <v>12</v>
      </c>
      <c r="J312" s="299">
        <f t="shared" si="63"/>
        <v>42.86</v>
      </c>
    </row>
    <row r="313" s="106" customFormat="1" ht="20.1" customHeight="1" spans="1:10">
      <c r="A313" s="279" t="s">
        <v>1901</v>
      </c>
      <c r="B313" s="286" t="s">
        <v>1902</v>
      </c>
      <c r="C313" s="287">
        <v>15</v>
      </c>
      <c r="D313" s="288">
        <f t="shared" si="60"/>
        <v>12</v>
      </c>
      <c r="E313" s="287"/>
      <c r="F313" s="287"/>
      <c r="G313" s="287"/>
      <c r="H313" s="287"/>
      <c r="I313" s="302">
        <v>12</v>
      </c>
      <c r="J313" s="303">
        <f t="shared" si="63"/>
        <v>80</v>
      </c>
    </row>
    <row r="314" s="106" customFormat="1" ht="20.1" customHeight="1" spans="1:10">
      <c r="A314" s="279" t="s">
        <v>1903</v>
      </c>
      <c r="B314" s="286" t="s">
        <v>1904</v>
      </c>
      <c r="C314" s="287">
        <v>13</v>
      </c>
      <c r="D314" s="288">
        <f t="shared" si="60"/>
        <v>0</v>
      </c>
      <c r="E314" s="287"/>
      <c r="F314" s="287"/>
      <c r="G314" s="287"/>
      <c r="H314" s="287"/>
      <c r="I314" s="302"/>
      <c r="J314" s="303">
        <f t="shared" si="63"/>
        <v>-100</v>
      </c>
    </row>
    <row r="315" s="107" customFormat="1" ht="20.1" customHeight="1" spans="1:10">
      <c r="A315" s="283" t="s">
        <v>558</v>
      </c>
      <c r="B315" s="284" t="s">
        <v>1905</v>
      </c>
      <c r="C315" s="285">
        <f t="shared" ref="C315:I315" si="65">SUM(C316:C325)</f>
        <v>8323</v>
      </c>
      <c r="D315" s="285">
        <f t="shared" si="60"/>
        <v>6943</v>
      </c>
      <c r="E315" s="285">
        <f t="shared" si="65"/>
        <v>0</v>
      </c>
      <c r="F315" s="285">
        <f t="shared" si="65"/>
        <v>0</v>
      </c>
      <c r="G315" s="285">
        <f t="shared" si="65"/>
        <v>108</v>
      </c>
      <c r="H315" s="285">
        <f t="shared" si="65"/>
        <v>0</v>
      </c>
      <c r="I315" s="285">
        <f t="shared" si="65"/>
        <v>6835</v>
      </c>
      <c r="J315" s="299">
        <f t="shared" si="63"/>
        <v>83.42</v>
      </c>
    </row>
    <row r="316" s="106" customFormat="1" ht="20.1" customHeight="1" spans="1:10">
      <c r="A316" s="279" t="s">
        <v>1906</v>
      </c>
      <c r="B316" s="289" t="s">
        <v>1458</v>
      </c>
      <c r="C316" s="287">
        <v>6020</v>
      </c>
      <c r="D316" s="288">
        <f t="shared" si="60"/>
        <v>5833</v>
      </c>
      <c r="E316" s="287"/>
      <c r="F316" s="287"/>
      <c r="G316" s="287"/>
      <c r="H316" s="287"/>
      <c r="I316" s="302">
        <v>5833</v>
      </c>
      <c r="J316" s="303">
        <f t="shared" si="63"/>
        <v>96.89</v>
      </c>
    </row>
    <row r="317" s="106" customFormat="1" ht="20.1" customHeight="1" spans="1:10">
      <c r="A317" s="279" t="s">
        <v>1907</v>
      </c>
      <c r="B317" s="41" t="s">
        <v>1460</v>
      </c>
      <c r="C317" s="287">
        <v>5</v>
      </c>
      <c r="D317" s="288">
        <f t="shared" si="60"/>
        <v>5</v>
      </c>
      <c r="E317" s="287"/>
      <c r="F317" s="287"/>
      <c r="G317" s="287"/>
      <c r="H317" s="287"/>
      <c r="I317" s="302">
        <v>5</v>
      </c>
      <c r="J317" s="303">
        <f t="shared" si="63"/>
        <v>100</v>
      </c>
    </row>
    <row r="318" s="106" customFormat="1" ht="20.1" customHeight="1" spans="1:10">
      <c r="A318" s="279" t="s">
        <v>1908</v>
      </c>
      <c r="B318" s="286" t="s">
        <v>1462</v>
      </c>
      <c r="C318" s="287">
        <v>292</v>
      </c>
      <c r="D318" s="288">
        <f t="shared" si="60"/>
        <v>361</v>
      </c>
      <c r="E318" s="287"/>
      <c r="F318" s="287"/>
      <c r="G318" s="287"/>
      <c r="H318" s="287"/>
      <c r="I318" s="322">
        <v>361</v>
      </c>
      <c r="J318" s="303">
        <f t="shared" si="63"/>
        <v>123.63</v>
      </c>
    </row>
    <row r="319" s="106" customFormat="1" ht="20.1" customHeight="1" spans="1:10">
      <c r="A319" s="279" t="s">
        <v>1909</v>
      </c>
      <c r="B319" s="289" t="s">
        <v>1553</v>
      </c>
      <c r="C319" s="287"/>
      <c r="D319" s="288">
        <f t="shared" si="60"/>
        <v>0</v>
      </c>
      <c r="E319" s="287"/>
      <c r="F319" s="287"/>
      <c r="G319" s="287"/>
      <c r="H319" s="287"/>
      <c r="I319" s="302"/>
      <c r="J319" s="303">
        <f t="shared" si="63"/>
        <v>0</v>
      </c>
    </row>
    <row r="320" s="106" customFormat="1" ht="20.1" customHeight="1" spans="1:10">
      <c r="A320" s="279" t="s">
        <v>1910</v>
      </c>
      <c r="B320" s="289" t="s">
        <v>1911</v>
      </c>
      <c r="C320" s="287">
        <v>1280</v>
      </c>
      <c r="D320" s="288">
        <f t="shared" si="60"/>
        <v>87</v>
      </c>
      <c r="E320" s="287"/>
      <c r="F320" s="287"/>
      <c r="G320" s="287">
        <v>87</v>
      </c>
      <c r="H320" s="287"/>
      <c r="I320" s="302"/>
      <c r="J320" s="303">
        <f t="shared" si="63"/>
        <v>6.8</v>
      </c>
    </row>
    <row r="321" s="106" customFormat="1" ht="20.1" customHeight="1" spans="1:10">
      <c r="A321" s="279" t="s">
        <v>1912</v>
      </c>
      <c r="B321" s="289" t="s">
        <v>1913</v>
      </c>
      <c r="C321" s="287"/>
      <c r="D321" s="288">
        <f t="shared" si="60"/>
        <v>0</v>
      </c>
      <c r="E321" s="287"/>
      <c r="F321" s="287"/>
      <c r="G321" s="287"/>
      <c r="H321" s="287"/>
      <c r="I321" s="302"/>
      <c r="J321" s="303">
        <f t="shared" si="63"/>
        <v>0</v>
      </c>
    </row>
    <row r="322" s="106" customFormat="1" ht="20.1" customHeight="1" spans="1:10">
      <c r="A322" s="279" t="s">
        <v>1914</v>
      </c>
      <c r="B322" s="289" t="s">
        <v>1915</v>
      </c>
      <c r="C322" s="287"/>
      <c r="D322" s="288"/>
      <c r="E322" s="287"/>
      <c r="F322" s="287"/>
      <c r="G322" s="287"/>
      <c r="H322" s="287"/>
      <c r="I322" s="302"/>
      <c r="J322" s="303"/>
    </row>
    <row r="323" s="106" customFormat="1" ht="20.1" customHeight="1" spans="1:10">
      <c r="A323" s="279" t="s">
        <v>1916</v>
      </c>
      <c r="B323" s="289" t="s">
        <v>1917</v>
      </c>
      <c r="C323" s="287"/>
      <c r="D323" s="288"/>
      <c r="E323" s="287"/>
      <c r="F323" s="287"/>
      <c r="G323" s="287"/>
      <c r="H323" s="287"/>
      <c r="I323" s="302"/>
      <c r="J323" s="303"/>
    </row>
    <row r="324" s="106" customFormat="1" ht="20.1" customHeight="1" spans="1:10">
      <c r="A324" s="279" t="s">
        <v>1918</v>
      </c>
      <c r="B324" s="289" t="s">
        <v>1476</v>
      </c>
      <c r="C324" s="287"/>
      <c r="D324" s="288">
        <f t="shared" ref="D324:D387" si="66">SUM(E324:I324)</f>
        <v>0</v>
      </c>
      <c r="E324" s="287"/>
      <c r="F324" s="287"/>
      <c r="G324" s="287"/>
      <c r="H324" s="287"/>
      <c r="I324" s="302"/>
      <c r="J324" s="303">
        <f t="shared" ref="J324:J387" si="67">ROUND(IF(C324=0,IF(D324=0,0,1),IF(D324=0,-1,D324/C324)),4)*100</f>
        <v>0</v>
      </c>
    </row>
    <row r="325" s="106" customFormat="1" ht="20.1" customHeight="1" spans="1:10">
      <c r="A325" s="279" t="s">
        <v>1919</v>
      </c>
      <c r="B325" s="289" t="s">
        <v>1920</v>
      </c>
      <c r="C325" s="287">
        <v>726</v>
      </c>
      <c r="D325" s="288">
        <f t="shared" si="66"/>
        <v>657</v>
      </c>
      <c r="E325" s="287"/>
      <c r="F325" s="287"/>
      <c r="G325" s="287">
        <v>21</v>
      </c>
      <c r="H325" s="287"/>
      <c r="I325" s="302">
        <v>636</v>
      </c>
      <c r="J325" s="303">
        <f t="shared" si="67"/>
        <v>90.5</v>
      </c>
    </row>
    <row r="326" s="107" customFormat="1" ht="20.1" customHeight="1" spans="1:10">
      <c r="A326" s="283" t="s">
        <v>560</v>
      </c>
      <c r="B326" s="284" t="s">
        <v>1921</v>
      </c>
      <c r="C326" s="285">
        <f t="shared" ref="C326:I326" si="68">SUM(C327:C332)</f>
        <v>0</v>
      </c>
      <c r="D326" s="285">
        <f t="shared" si="66"/>
        <v>1</v>
      </c>
      <c r="E326" s="285">
        <f t="shared" si="68"/>
        <v>0</v>
      </c>
      <c r="F326" s="285">
        <f t="shared" si="68"/>
        <v>0</v>
      </c>
      <c r="G326" s="285">
        <f t="shared" si="68"/>
        <v>0</v>
      </c>
      <c r="H326" s="285">
        <f t="shared" si="68"/>
        <v>0</v>
      </c>
      <c r="I326" s="285">
        <f t="shared" si="68"/>
        <v>1</v>
      </c>
      <c r="J326" s="299">
        <f t="shared" si="67"/>
        <v>100</v>
      </c>
    </row>
    <row r="327" s="106" customFormat="1" ht="20.1" customHeight="1" spans="1:10">
      <c r="A327" s="279" t="s">
        <v>1922</v>
      </c>
      <c r="B327" s="286" t="s">
        <v>1458</v>
      </c>
      <c r="C327" s="287">
        <v>0</v>
      </c>
      <c r="D327" s="288">
        <f t="shared" si="66"/>
        <v>0</v>
      </c>
      <c r="E327" s="287"/>
      <c r="F327" s="287"/>
      <c r="G327" s="287"/>
      <c r="H327" s="287"/>
      <c r="I327" s="302"/>
      <c r="J327" s="303">
        <f t="shared" si="67"/>
        <v>0</v>
      </c>
    </row>
    <row r="328" s="106" customFormat="1" ht="20.1" customHeight="1" spans="1:10">
      <c r="A328" s="279" t="s">
        <v>1923</v>
      </c>
      <c r="B328" s="286" t="s">
        <v>1460</v>
      </c>
      <c r="C328" s="287">
        <v>0</v>
      </c>
      <c r="D328" s="288">
        <f t="shared" si="66"/>
        <v>0</v>
      </c>
      <c r="E328" s="287"/>
      <c r="F328" s="287"/>
      <c r="G328" s="287"/>
      <c r="H328" s="287"/>
      <c r="I328" s="302"/>
      <c r="J328" s="303">
        <f t="shared" si="67"/>
        <v>0</v>
      </c>
    </row>
    <row r="329" s="106" customFormat="1" ht="20.1" customHeight="1" spans="1:10">
      <c r="A329" s="279" t="s">
        <v>1924</v>
      </c>
      <c r="B329" s="289" t="s">
        <v>1462</v>
      </c>
      <c r="C329" s="287"/>
      <c r="D329" s="288">
        <f t="shared" si="66"/>
        <v>0</v>
      </c>
      <c r="E329" s="287"/>
      <c r="F329" s="287"/>
      <c r="G329" s="287"/>
      <c r="H329" s="287"/>
      <c r="I329" s="302"/>
      <c r="J329" s="303">
        <f t="shared" si="67"/>
        <v>0</v>
      </c>
    </row>
    <row r="330" s="106" customFormat="1" ht="20.1" customHeight="1" spans="1:10">
      <c r="A330" s="279" t="s">
        <v>1925</v>
      </c>
      <c r="B330" s="289" t="s">
        <v>1926</v>
      </c>
      <c r="C330" s="287">
        <v>0</v>
      </c>
      <c r="D330" s="288">
        <f t="shared" si="66"/>
        <v>0</v>
      </c>
      <c r="E330" s="287"/>
      <c r="F330" s="287"/>
      <c r="G330" s="287"/>
      <c r="H330" s="287"/>
      <c r="I330" s="302"/>
      <c r="J330" s="303">
        <f t="shared" si="67"/>
        <v>0</v>
      </c>
    </row>
    <row r="331" s="106" customFormat="1" ht="20.1" customHeight="1" spans="1:10">
      <c r="A331" s="279" t="s">
        <v>1927</v>
      </c>
      <c r="B331" s="289" t="s">
        <v>1476</v>
      </c>
      <c r="C331" s="287">
        <v>0</v>
      </c>
      <c r="D331" s="288">
        <f t="shared" si="66"/>
        <v>0</v>
      </c>
      <c r="E331" s="287"/>
      <c r="F331" s="287"/>
      <c r="G331" s="287"/>
      <c r="H331" s="287"/>
      <c r="I331" s="302"/>
      <c r="J331" s="303">
        <f t="shared" si="67"/>
        <v>0</v>
      </c>
    </row>
    <row r="332" s="106" customFormat="1" ht="20.1" customHeight="1" spans="1:10">
      <c r="A332" s="279" t="s">
        <v>1928</v>
      </c>
      <c r="B332" s="41" t="s">
        <v>1929</v>
      </c>
      <c r="C332" s="287"/>
      <c r="D332" s="288">
        <f t="shared" si="66"/>
        <v>1</v>
      </c>
      <c r="E332" s="287"/>
      <c r="F332" s="287"/>
      <c r="G332" s="287"/>
      <c r="H332" s="287"/>
      <c r="I332" s="302">
        <v>1</v>
      </c>
      <c r="J332" s="303">
        <f t="shared" si="67"/>
        <v>100</v>
      </c>
    </row>
    <row r="333" s="107" customFormat="1" ht="20.1" customHeight="1" spans="1:10">
      <c r="A333" s="283" t="s">
        <v>562</v>
      </c>
      <c r="B333" s="284" t="s">
        <v>1930</v>
      </c>
      <c r="C333" s="285">
        <f t="shared" ref="C333:I333" si="69">SUM(C334:C340)</f>
        <v>0</v>
      </c>
      <c r="D333" s="285">
        <f t="shared" si="66"/>
        <v>0</v>
      </c>
      <c r="E333" s="285">
        <f t="shared" si="69"/>
        <v>0</v>
      </c>
      <c r="F333" s="285">
        <f t="shared" si="69"/>
        <v>0</v>
      </c>
      <c r="G333" s="285">
        <f t="shared" si="69"/>
        <v>0</v>
      </c>
      <c r="H333" s="285">
        <f t="shared" si="69"/>
        <v>0</v>
      </c>
      <c r="I333" s="285">
        <f t="shared" si="69"/>
        <v>0</v>
      </c>
      <c r="J333" s="299">
        <f t="shared" si="67"/>
        <v>0</v>
      </c>
    </row>
    <row r="334" s="106" customFormat="1" ht="20.1" customHeight="1" spans="1:10">
      <c r="A334" s="279" t="s">
        <v>1931</v>
      </c>
      <c r="B334" s="286" t="s">
        <v>1458</v>
      </c>
      <c r="C334" s="287"/>
      <c r="D334" s="288">
        <f t="shared" si="66"/>
        <v>0</v>
      </c>
      <c r="E334" s="287"/>
      <c r="F334" s="287"/>
      <c r="G334" s="287"/>
      <c r="H334" s="287"/>
      <c r="I334" s="302"/>
      <c r="J334" s="303">
        <f t="shared" si="67"/>
        <v>0</v>
      </c>
    </row>
    <row r="335" s="106" customFormat="1" ht="20.1" customHeight="1" spans="1:10">
      <c r="A335" s="279" t="s">
        <v>1932</v>
      </c>
      <c r="B335" s="286" t="s">
        <v>1460</v>
      </c>
      <c r="C335" s="287"/>
      <c r="D335" s="288">
        <f t="shared" si="66"/>
        <v>0</v>
      </c>
      <c r="E335" s="287"/>
      <c r="F335" s="287"/>
      <c r="G335" s="287"/>
      <c r="H335" s="287"/>
      <c r="I335" s="302"/>
      <c r="J335" s="303">
        <f t="shared" si="67"/>
        <v>0</v>
      </c>
    </row>
    <row r="336" s="106" customFormat="1" ht="20.1" customHeight="1" spans="1:10">
      <c r="A336" s="279" t="s">
        <v>1933</v>
      </c>
      <c r="B336" s="289" t="s">
        <v>1462</v>
      </c>
      <c r="C336" s="287"/>
      <c r="D336" s="288">
        <f t="shared" si="66"/>
        <v>0</v>
      </c>
      <c r="E336" s="287"/>
      <c r="F336" s="287"/>
      <c r="G336" s="287"/>
      <c r="H336" s="287"/>
      <c r="I336" s="302"/>
      <c r="J336" s="303">
        <f t="shared" si="67"/>
        <v>0</v>
      </c>
    </row>
    <row r="337" s="106" customFormat="1" ht="20.1" customHeight="1" spans="1:10">
      <c r="A337" s="279" t="s">
        <v>1934</v>
      </c>
      <c r="B337" s="289" t="s">
        <v>1935</v>
      </c>
      <c r="C337" s="287"/>
      <c r="D337" s="288">
        <f t="shared" si="66"/>
        <v>0</v>
      </c>
      <c r="E337" s="287"/>
      <c r="F337" s="287"/>
      <c r="G337" s="287"/>
      <c r="H337" s="287"/>
      <c r="I337" s="302"/>
      <c r="J337" s="303">
        <f t="shared" si="67"/>
        <v>0</v>
      </c>
    </row>
    <row r="338" s="106" customFormat="1" ht="20.1" customHeight="1" spans="1:10">
      <c r="A338" s="279" t="s">
        <v>1936</v>
      </c>
      <c r="B338" s="289" t="s">
        <v>1937</v>
      </c>
      <c r="C338" s="287"/>
      <c r="D338" s="288">
        <f t="shared" si="66"/>
        <v>0</v>
      </c>
      <c r="E338" s="287"/>
      <c r="F338" s="287"/>
      <c r="G338" s="287"/>
      <c r="H338" s="287"/>
      <c r="I338" s="302"/>
      <c r="J338" s="303">
        <f t="shared" si="67"/>
        <v>0</v>
      </c>
    </row>
    <row r="339" s="106" customFormat="1" ht="20.1" customHeight="1" spans="1:10">
      <c r="A339" s="279" t="s">
        <v>1938</v>
      </c>
      <c r="B339" s="289" t="s">
        <v>1476</v>
      </c>
      <c r="C339" s="287"/>
      <c r="D339" s="288">
        <f t="shared" si="66"/>
        <v>0</v>
      </c>
      <c r="E339" s="287"/>
      <c r="F339" s="287"/>
      <c r="G339" s="287"/>
      <c r="H339" s="287"/>
      <c r="I339" s="302"/>
      <c r="J339" s="303">
        <f t="shared" si="67"/>
        <v>0</v>
      </c>
    </row>
    <row r="340" s="106" customFormat="1" ht="20.1" customHeight="1" spans="1:10">
      <c r="A340" s="279" t="s">
        <v>1939</v>
      </c>
      <c r="B340" s="289" t="s">
        <v>1940</v>
      </c>
      <c r="C340" s="287"/>
      <c r="D340" s="288">
        <f t="shared" si="66"/>
        <v>0</v>
      </c>
      <c r="E340" s="287"/>
      <c r="F340" s="287"/>
      <c r="G340" s="287"/>
      <c r="H340" s="287"/>
      <c r="I340" s="302"/>
      <c r="J340" s="303">
        <f t="shared" si="67"/>
        <v>0</v>
      </c>
    </row>
    <row r="341" s="107" customFormat="1" ht="20.1" customHeight="1" spans="1:10">
      <c r="A341" s="283" t="s">
        <v>564</v>
      </c>
      <c r="B341" s="284" t="s">
        <v>1941</v>
      </c>
      <c r="C341" s="285">
        <f t="shared" ref="C341:I341" si="70">SUM(C342:C349)</f>
        <v>0</v>
      </c>
      <c r="D341" s="285">
        <f t="shared" si="66"/>
        <v>0</v>
      </c>
      <c r="E341" s="285">
        <f t="shared" si="70"/>
        <v>0</v>
      </c>
      <c r="F341" s="285">
        <f t="shared" si="70"/>
        <v>0</v>
      </c>
      <c r="G341" s="285">
        <f t="shared" si="70"/>
        <v>0</v>
      </c>
      <c r="H341" s="285">
        <f t="shared" si="70"/>
        <v>0</v>
      </c>
      <c r="I341" s="285">
        <f t="shared" si="70"/>
        <v>0</v>
      </c>
      <c r="J341" s="299">
        <f t="shared" si="67"/>
        <v>0</v>
      </c>
    </row>
    <row r="342" s="106" customFormat="1" ht="20.1" customHeight="1" spans="1:10">
      <c r="A342" s="279" t="s">
        <v>1942</v>
      </c>
      <c r="B342" s="286" t="s">
        <v>1458</v>
      </c>
      <c r="C342" s="287"/>
      <c r="D342" s="288">
        <f t="shared" si="66"/>
        <v>0</v>
      </c>
      <c r="E342" s="287"/>
      <c r="F342" s="287"/>
      <c r="G342" s="287"/>
      <c r="H342" s="287"/>
      <c r="I342" s="302"/>
      <c r="J342" s="303">
        <f t="shared" si="67"/>
        <v>0</v>
      </c>
    </row>
    <row r="343" s="106" customFormat="1" ht="20.1" customHeight="1" spans="1:10">
      <c r="A343" s="279" t="s">
        <v>1943</v>
      </c>
      <c r="B343" s="286" t="s">
        <v>1460</v>
      </c>
      <c r="C343" s="287"/>
      <c r="D343" s="288">
        <f t="shared" si="66"/>
        <v>0</v>
      </c>
      <c r="E343" s="287"/>
      <c r="F343" s="287"/>
      <c r="G343" s="287"/>
      <c r="H343" s="287"/>
      <c r="I343" s="302"/>
      <c r="J343" s="303">
        <f t="shared" si="67"/>
        <v>0</v>
      </c>
    </row>
    <row r="344" s="106" customFormat="1" ht="20.1" customHeight="1" spans="1:10">
      <c r="A344" s="279" t="s">
        <v>1944</v>
      </c>
      <c r="B344" s="286" t="s">
        <v>1462</v>
      </c>
      <c r="C344" s="287"/>
      <c r="D344" s="288">
        <f t="shared" si="66"/>
        <v>0</v>
      </c>
      <c r="E344" s="287"/>
      <c r="F344" s="287"/>
      <c r="G344" s="287"/>
      <c r="H344" s="287"/>
      <c r="I344" s="302"/>
      <c r="J344" s="303">
        <f t="shared" si="67"/>
        <v>0</v>
      </c>
    </row>
    <row r="345" s="106" customFormat="1" ht="20.1" customHeight="1" spans="1:10">
      <c r="A345" s="279" t="s">
        <v>1945</v>
      </c>
      <c r="B345" s="289" t="s">
        <v>1946</v>
      </c>
      <c r="C345" s="287"/>
      <c r="D345" s="288">
        <f t="shared" si="66"/>
        <v>0</v>
      </c>
      <c r="E345" s="287"/>
      <c r="F345" s="287"/>
      <c r="G345" s="287"/>
      <c r="H345" s="287"/>
      <c r="I345" s="302"/>
      <c r="J345" s="303">
        <f t="shared" si="67"/>
        <v>0</v>
      </c>
    </row>
    <row r="346" s="106" customFormat="1" ht="20.1" customHeight="1" spans="1:10">
      <c r="A346" s="279" t="s">
        <v>1947</v>
      </c>
      <c r="B346" s="289" t="s">
        <v>1948</v>
      </c>
      <c r="C346" s="287"/>
      <c r="D346" s="288">
        <f t="shared" si="66"/>
        <v>0</v>
      </c>
      <c r="E346" s="287"/>
      <c r="F346" s="287"/>
      <c r="G346" s="287"/>
      <c r="H346" s="287"/>
      <c r="I346" s="302"/>
      <c r="J346" s="303">
        <f t="shared" si="67"/>
        <v>0</v>
      </c>
    </row>
    <row r="347" s="106" customFormat="1" ht="20.1" customHeight="1" spans="1:10">
      <c r="A347" s="279" t="s">
        <v>1949</v>
      </c>
      <c r="B347" s="289" t="s">
        <v>1950</v>
      </c>
      <c r="C347" s="287"/>
      <c r="D347" s="288">
        <f t="shared" si="66"/>
        <v>0</v>
      </c>
      <c r="E347" s="287"/>
      <c r="F347" s="287"/>
      <c r="G347" s="287"/>
      <c r="H347" s="287"/>
      <c r="I347" s="302"/>
      <c r="J347" s="303">
        <f t="shared" si="67"/>
        <v>0</v>
      </c>
    </row>
    <row r="348" s="106" customFormat="1" ht="20.1" customHeight="1" spans="1:10">
      <c r="A348" s="279" t="s">
        <v>1951</v>
      </c>
      <c r="B348" s="286" t="s">
        <v>1476</v>
      </c>
      <c r="C348" s="287"/>
      <c r="D348" s="288">
        <f t="shared" si="66"/>
        <v>0</v>
      </c>
      <c r="E348" s="287"/>
      <c r="F348" s="287"/>
      <c r="G348" s="287"/>
      <c r="H348" s="287"/>
      <c r="I348" s="302"/>
      <c r="J348" s="303">
        <f t="shared" si="67"/>
        <v>0</v>
      </c>
    </row>
    <row r="349" s="106" customFormat="1" ht="20.1" customHeight="1" spans="1:10">
      <c r="A349" s="279" t="s">
        <v>1952</v>
      </c>
      <c r="B349" s="286" t="s">
        <v>1953</v>
      </c>
      <c r="C349" s="287"/>
      <c r="D349" s="288">
        <f t="shared" si="66"/>
        <v>0</v>
      </c>
      <c r="E349" s="287"/>
      <c r="F349" s="287"/>
      <c r="G349" s="287"/>
      <c r="H349" s="287"/>
      <c r="I349" s="302"/>
      <c r="J349" s="303">
        <f t="shared" si="67"/>
        <v>0</v>
      </c>
    </row>
    <row r="350" s="107" customFormat="1" ht="20.1" customHeight="1" spans="1:10">
      <c r="A350" s="283" t="s">
        <v>566</v>
      </c>
      <c r="B350" s="284" t="s">
        <v>1954</v>
      </c>
      <c r="C350" s="285">
        <f t="shared" ref="C350:I350" si="71">SUM(C351:C363)</f>
        <v>966</v>
      </c>
      <c r="D350" s="285">
        <f t="shared" si="66"/>
        <v>827</v>
      </c>
      <c r="E350" s="285">
        <f t="shared" si="71"/>
        <v>22</v>
      </c>
      <c r="F350" s="285">
        <f t="shared" si="71"/>
        <v>0</v>
      </c>
      <c r="G350" s="285">
        <f t="shared" si="71"/>
        <v>15</v>
      </c>
      <c r="H350" s="285">
        <f t="shared" si="71"/>
        <v>0</v>
      </c>
      <c r="I350" s="285">
        <f t="shared" si="71"/>
        <v>790</v>
      </c>
      <c r="J350" s="299">
        <f t="shared" si="67"/>
        <v>85.61</v>
      </c>
    </row>
    <row r="351" s="106" customFormat="1" ht="20.1" customHeight="1" spans="1:10">
      <c r="A351" s="279" t="s">
        <v>1955</v>
      </c>
      <c r="B351" s="289" t="s">
        <v>1458</v>
      </c>
      <c r="C351" s="287">
        <v>744</v>
      </c>
      <c r="D351" s="288">
        <f t="shared" si="66"/>
        <v>733</v>
      </c>
      <c r="E351" s="287"/>
      <c r="F351" s="287"/>
      <c r="G351" s="287"/>
      <c r="H351" s="287"/>
      <c r="I351" s="302">
        <v>733</v>
      </c>
      <c r="J351" s="303">
        <f t="shared" si="67"/>
        <v>98.52</v>
      </c>
    </row>
    <row r="352" s="106" customFormat="1" ht="20.1" customHeight="1" spans="1:10">
      <c r="A352" s="279" t="s">
        <v>1956</v>
      </c>
      <c r="B352" s="289" t="s">
        <v>1460</v>
      </c>
      <c r="C352" s="287"/>
      <c r="D352" s="288">
        <f t="shared" si="66"/>
        <v>0</v>
      </c>
      <c r="E352" s="287"/>
      <c r="F352" s="287"/>
      <c r="G352" s="287"/>
      <c r="H352" s="287"/>
      <c r="I352" s="302"/>
      <c r="J352" s="303">
        <f t="shared" si="67"/>
        <v>0</v>
      </c>
    </row>
    <row r="353" s="106" customFormat="1" ht="20.1" customHeight="1" spans="1:10">
      <c r="A353" s="279" t="s">
        <v>1957</v>
      </c>
      <c r="B353" s="289" t="s">
        <v>1462</v>
      </c>
      <c r="C353" s="287"/>
      <c r="D353" s="288">
        <f t="shared" si="66"/>
        <v>0</v>
      </c>
      <c r="E353" s="287"/>
      <c r="F353" s="287"/>
      <c r="G353" s="287"/>
      <c r="H353" s="287"/>
      <c r="I353" s="302"/>
      <c r="J353" s="303">
        <f t="shared" si="67"/>
        <v>0</v>
      </c>
    </row>
    <row r="354" s="106" customFormat="1" ht="20.1" customHeight="1" spans="1:10">
      <c r="A354" s="279" t="s">
        <v>1958</v>
      </c>
      <c r="B354" s="41" t="s">
        <v>1959</v>
      </c>
      <c r="C354" s="287">
        <v>15</v>
      </c>
      <c r="D354" s="288">
        <f t="shared" si="66"/>
        <v>15</v>
      </c>
      <c r="E354" s="287">
        <v>7</v>
      </c>
      <c r="F354" s="287"/>
      <c r="G354" s="287">
        <v>8</v>
      </c>
      <c r="H354" s="287"/>
      <c r="I354" s="302"/>
      <c r="J354" s="303">
        <f t="shared" si="67"/>
        <v>100</v>
      </c>
    </row>
    <row r="355" s="106" customFormat="1" ht="20.1" customHeight="1" spans="1:10">
      <c r="A355" s="279" t="s">
        <v>1960</v>
      </c>
      <c r="B355" s="286" t="s">
        <v>1961</v>
      </c>
      <c r="C355" s="287"/>
      <c r="D355" s="288">
        <f t="shared" si="66"/>
        <v>32</v>
      </c>
      <c r="E355" s="287"/>
      <c r="F355" s="287"/>
      <c r="G355" s="287"/>
      <c r="H355" s="287"/>
      <c r="I355" s="302">
        <v>32</v>
      </c>
      <c r="J355" s="303">
        <f t="shared" si="67"/>
        <v>100</v>
      </c>
    </row>
    <row r="356" s="106" customFormat="1" ht="20.1" customHeight="1" spans="1:10">
      <c r="A356" s="279" t="s">
        <v>1962</v>
      </c>
      <c r="B356" s="286" t="s">
        <v>1963</v>
      </c>
      <c r="C356" s="287"/>
      <c r="D356" s="288">
        <f t="shared" si="66"/>
        <v>25</v>
      </c>
      <c r="E356" s="287"/>
      <c r="F356" s="287"/>
      <c r="G356" s="287"/>
      <c r="H356" s="287"/>
      <c r="I356" s="302">
        <v>25</v>
      </c>
      <c r="J356" s="303">
        <f t="shared" si="67"/>
        <v>100</v>
      </c>
    </row>
    <row r="357" s="106" customFormat="1" ht="20.1" customHeight="1" spans="1:10">
      <c r="A357" s="279" t="s">
        <v>1964</v>
      </c>
      <c r="B357" s="286" t="s">
        <v>1965</v>
      </c>
      <c r="C357" s="287">
        <v>6</v>
      </c>
      <c r="D357" s="288">
        <f t="shared" si="66"/>
        <v>6</v>
      </c>
      <c r="E357" s="287"/>
      <c r="F357" s="287"/>
      <c r="G357" s="287">
        <v>6</v>
      </c>
      <c r="H357" s="287"/>
      <c r="I357" s="302"/>
      <c r="J357" s="303">
        <f t="shared" si="67"/>
        <v>100</v>
      </c>
    </row>
    <row r="358" s="106" customFormat="1" ht="20.1" customHeight="1" spans="1:10">
      <c r="A358" s="279" t="s">
        <v>1966</v>
      </c>
      <c r="B358" s="289" t="s">
        <v>1967</v>
      </c>
      <c r="C358" s="287"/>
      <c r="D358" s="288">
        <f t="shared" si="66"/>
        <v>0</v>
      </c>
      <c r="E358" s="287"/>
      <c r="F358" s="287"/>
      <c r="G358" s="287"/>
      <c r="H358" s="287"/>
      <c r="I358" s="302"/>
      <c r="J358" s="303">
        <f t="shared" si="67"/>
        <v>0</v>
      </c>
    </row>
    <row r="359" s="106" customFormat="1" ht="20.1" customHeight="1" spans="1:10">
      <c r="A359" s="279" t="s">
        <v>1968</v>
      </c>
      <c r="B359" s="289" t="s">
        <v>1969</v>
      </c>
      <c r="C359" s="287"/>
      <c r="D359" s="288">
        <f t="shared" si="66"/>
        <v>15</v>
      </c>
      <c r="E359" s="287">
        <v>15</v>
      </c>
      <c r="F359" s="287"/>
      <c r="G359" s="287"/>
      <c r="H359" s="287"/>
      <c r="I359" s="302"/>
      <c r="J359" s="303">
        <f t="shared" si="67"/>
        <v>100</v>
      </c>
    </row>
    <row r="360" s="106" customFormat="1" ht="20.1" customHeight="1" spans="1:10">
      <c r="A360" s="279" t="s">
        <v>1970</v>
      </c>
      <c r="B360" s="289" t="s">
        <v>1971</v>
      </c>
      <c r="C360" s="287"/>
      <c r="D360" s="288">
        <f t="shared" si="66"/>
        <v>0</v>
      </c>
      <c r="E360" s="287"/>
      <c r="F360" s="287"/>
      <c r="G360" s="287"/>
      <c r="H360" s="287"/>
      <c r="I360" s="302"/>
      <c r="J360" s="303">
        <f t="shared" si="67"/>
        <v>0</v>
      </c>
    </row>
    <row r="361" s="106" customFormat="1" ht="20.1" customHeight="1" spans="1:10">
      <c r="A361" s="279" t="s">
        <v>1972</v>
      </c>
      <c r="B361" s="289" t="s">
        <v>1553</v>
      </c>
      <c r="C361" s="287"/>
      <c r="D361" s="288">
        <f t="shared" si="66"/>
        <v>0</v>
      </c>
      <c r="E361" s="287"/>
      <c r="F361" s="287"/>
      <c r="G361" s="287"/>
      <c r="H361" s="287"/>
      <c r="I361" s="302"/>
      <c r="J361" s="303">
        <f t="shared" si="67"/>
        <v>0</v>
      </c>
    </row>
    <row r="362" s="106" customFormat="1" ht="20.1" customHeight="1" spans="1:10">
      <c r="A362" s="279" t="s">
        <v>1973</v>
      </c>
      <c r="B362" s="289" t="s">
        <v>1476</v>
      </c>
      <c r="C362" s="287"/>
      <c r="D362" s="288">
        <f t="shared" si="66"/>
        <v>0</v>
      </c>
      <c r="E362" s="287"/>
      <c r="F362" s="287"/>
      <c r="G362" s="287"/>
      <c r="H362" s="287"/>
      <c r="I362" s="302"/>
      <c r="J362" s="303">
        <f t="shared" si="67"/>
        <v>0</v>
      </c>
    </row>
    <row r="363" s="106" customFormat="1" ht="20.1" customHeight="1" spans="1:10">
      <c r="A363" s="279" t="s">
        <v>1974</v>
      </c>
      <c r="B363" s="286" t="s">
        <v>1975</v>
      </c>
      <c r="C363" s="287">
        <v>201</v>
      </c>
      <c r="D363" s="288">
        <f t="shared" si="66"/>
        <v>1</v>
      </c>
      <c r="E363" s="287"/>
      <c r="F363" s="287"/>
      <c r="G363" s="287">
        <v>1</v>
      </c>
      <c r="H363" s="287"/>
      <c r="I363" s="302"/>
      <c r="J363" s="303">
        <f t="shared" si="67"/>
        <v>0.5</v>
      </c>
    </row>
    <row r="364" s="107" customFormat="1" ht="20.1" customHeight="1" spans="1:10">
      <c r="A364" s="283" t="s">
        <v>568</v>
      </c>
      <c r="B364" s="284" t="s">
        <v>1976</v>
      </c>
      <c r="C364" s="285">
        <v>0</v>
      </c>
      <c r="D364" s="285">
        <f t="shared" si="66"/>
        <v>0</v>
      </c>
      <c r="E364" s="285">
        <f t="shared" ref="E364:H364" si="72">SUM(E365:E373)</f>
        <v>0</v>
      </c>
      <c r="F364" s="285">
        <f t="shared" si="72"/>
        <v>0</v>
      </c>
      <c r="G364" s="285">
        <f>VLOOKUP(A364,[1]√表四、2025年公共财政支出变动表!$A$8:$S$221,18,FALSE)</f>
        <v>0</v>
      </c>
      <c r="H364" s="285">
        <f t="shared" si="72"/>
        <v>0</v>
      </c>
      <c r="I364" s="285"/>
      <c r="J364" s="299">
        <f t="shared" si="67"/>
        <v>0</v>
      </c>
    </row>
    <row r="365" s="106" customFormat="1" ht="20.1" customHeight="1" spans="1:10">
      <c r="A365" s="279" t="s">
        <v>1977</v>
      </c>
      <c r="B365" s="286" t="s">
        <v>1458</v>
      </c>
      <c r="C365" s="287">
        <v>0</v>
      </c>
      <c r="D365" s="288">
        <f t="shared" si="66"/>
        <v>0</v>
      </c>
      <c r="E365" s="287"/>
      <c r="F365" s="287"/>
      <c r="G365" s="287"/>
      <c r="H365" s="287"/>
      <c r="I365" s="302"/>
      <c r="J365" s="303">
        <f t="shared" si="67"/>
        <v>0</v>
      </c>
    </row>
    <row r="366" s="106" customFormat="1" ht="20.1" customHeight="1" spans="1:10">
      <c r="A366" s="279" t="s">
        <v>1978</v>
      </c>
      <c r="B366" s="289" t="s">
        <v>1460</v>
      </c>
      <c r="C366" s="287">
        <v>0</v>
      </c>
      <c r="D366" s="288">
        <f t="shared" si="66"/>
        <v>0</v>
      </c>
      <c r="E366" s="287"/>
      <c r="F366" s="287"/>
      <c r="G366" s="287"/>
      <c r="H366" s="287"/>
      <c r="I366" s="302"/>
      <c r="J366" s="303">
        <f t="shared" si="67"/>
        <v>0</v>
      </c>
    </row>
    <row r="367" s="106" customFormat="1" ht="20.1" customHeight="1" spans="1:10">
      <c r="A367" s="279" t="s">
        <v>1979</v>
      </c>
      <c r="B367" s="289" t="s">
        <v>1462</v>
      </c>
      <c r="C367" s="287">
        <v>0</v>
      </c>
      <c r="D367" s="288">
        <f t="shared" si="66"/>
        <v>0</v>
      </c>
      <c r="E367" s="287"/>
      <c r="F367" s="287"/>
      <c r="G367" s="287"/>
      <c r="H367" s="287"/>
      <c r="I367" s="302"/>
      <c r="J367" s="303">
        <f t="shared" si="67"/>
        <v>0</v>
      </c>
    </row>
    <row r="368" s="106" customFormat="1" ht="20.1" customHeight="1" spans="1:10">
      <c r="A368" s="279" t="s">
        <v>1980</v>
      </c>
      <c r="B368" s="289" t="s">
        <v>1981</v>
      </c>
      <c r="C368" s="287">
        <v>0</v>
      </c>
      <c r="D368" s="288">
        <f t="shared" si="66"/>
        <v>0</v>
      </c>
      <c r="E368" s="287"/>
      <c r="F368" s="287"/>
      <c r="G368" s="287"/>
      <c r="H368" s="287"/>
      <c r="I368" s="302"/>
      <c r="J368" s="303">
        <f t="shared" si="67"/>
        <v>0</v>
      </c>
    </row>
    <row r="369" s="106" customFormat="1" ht="20.1" customHeight="1" spans="1:10">
      <c r="A369" s="279" t="s">
        <v>1982</v>
      </c>
      <c r="B369" s="41" t="s">
        <v>1983</v>
      </c>
      <c r="C369" s="287">
        <v>0</v>
      </c>
      <c r="D369" s="288">
        <f t="shared" si="66"/>
        <v>0</v>
      </c>
      <c r="E369" s="287"/>
      <c r="F369" s="287"/>
      <c r="G369" s="287"/>
      <c r="H369" s="287"/>
      <c r="I369" s="302"/>
      <c r="J369" s="303">
        <f t="shared" si="67"/>
        <v>0</v>
      </c>
    </row>
    <row r="370" s="106" customFormat="1" ht="20.1" customHeight="1" spans="1:10">
      <c r="A370" s="279" t="s">
        <v>1984</v>
      </c>
      <c r="B370" s="286" t="s">
        <v>1985</v>
      </c>
      <c r="C370" s="287">
        <v>0</v>
      </c>
      <c r="D370" s="288">
        <f t="shared" si="66"/>
        <v>0</v>
      </c>
      <c r="E370" s="287"/>
      <c r="F370" s="287"/>
      <c r="G370" s="287"/>
      <c r="H370" s="287"/>
      <c r="I370" s="302"/>
      <c r="J370" s="303">
        <f t="shared" si="67"/>
        <v>0</v>
      </c>
    </row>
    <row r="371" s="106" customFormat="1" ht="20.1" customHeight="1" spans="1:10">
      <c r="A371" s="279" t="s">
        <v>1986</v>
      </c>
      <c r="B371" s="286" t="s">
        <v>1553</v>
      </c>
      <c r="C371" s="287">
        <v>0</v>
      </c>
      <c r="D371" s="288">
        <f t="shared" si="66"/>
        <v>0</v>
      </c>
      <c r="E371" s="287"/>
      <c r="F371" s="287"/>
      <c r="G371" s="287"/>
      <c r="H371" s="287"/>
      <c r="I371" s="302"/>
      <c r="J371" s="303">
        <f t="shared" si="67"/>
        <v>0</v>
      </c>
    </row>
    <row r="372" s="106" customFormat="1" ht="20.1" customHeight="1" spans="1:10">
      <c r="A372" s="279" t="s">
        <v>1987</v>
      </c>
      <c r="B372" s="286" t="s">
        <v>1476</v>
      </c>
      <c r="C372" s="287">
        <v>0</v>
      </c>
      <c r="D372" s="288">
        <f t="shared" si="66"/>
        <v>0</v>
      </c>
      <c r="E372" s="287"/>
      <c r="F372" s="287"/>
      <c r="G372" s="287"/>
      <c r="H372" s="287"/>
      <c r="I372" s="302"/>
      <c r="J372" s="303">
        <f t="shared" si="67"/>
        <v>0</v>
      </c>
    </row>
    <row r="373" s="106" customFormat="1" ht="20.1" customHeight="1" spans="1:10">
      <c r="A373" s="279" t="s">
        <v>1988</v>
      </c>
      <c r="B373" s="286" t="s">
        <v>1989</v>
      </c>
      <c r="C373" s="287">
        <v>0</v>
      </c>
      <c r="D373" s="288">
        <f t="shared" si="66"/>
        <v>0</v>
      </c>
      <c r="E373" s="287"/>
      <c r="F373" s="287"/>
      <c r="G373" s="287"/>
      <c r="H373" s="287"/>
      <c r="I373" s="302"/>
      <c r="J373" s="303">
        <f t="shared" si="67"/>
        <v>0</v>
      </c>
    </row>
    <row r="374" s="107" customFormat="1" ht="20.1" customHeight="1" spans="1:10">
      <c r="A374" s="283" t="s">
        <v>570</v>
      </c>
      <c r="B374" s="284" t="s">
        <v>1990</v>
      </c>
      <c r="C374" s="285">
        <v>0</v>
      </c>
      <c r="D374" s="285">
        <f t="shared" si="66"/>
        <v>0</v>
      </c>
      <c r="E374" s="285">
        <f t="shared" ref="E374:H374" si="73">SUM(E375:E383)</f>
        <v>0</v>
      </c>
      <c r="F374" s="285">
        <f t="shared" si="73"/>
        <v>0</v>
      </c>
      <c r="G374" s="285">
        <f>VLOOKUP(A374,[1]√表四、2025年公共财政支出变动表!$A$8:$S$221,18,FALSE)</f>
        <v>0</v>
      </c>
      <c r="H374" s="285">
        <f t="shared" si="73"/>
        <v>0</v>
      </c>
      <c r="I374" s="285"/>
      <c r="J374" s="299">
        <f t="shared" si="67"/>
        <v>0</v>
      </c>
    </row>
    <row r="375" s="106" customFormat="1" ht="20.1" customHeight="1" spans="1:10">
      <c r="A375" s="279" t="s">
        <v>1991</v>
      </c>
      <c r="B375" s="289" t="s">
        <v>1458</v>
      </c>
      <c r="C375" s="287">
        <v>0</v>
      </c>
      <c r="D375" s="288">
        <f t="shared" si="66"/>
        <v>0</v>
      </c>
      <c r="E375" s="287"/>
      <c r="F375" s="287"/>
      <c r="G375" s="287"/>
      <c r="H375" s="287"/>
      <c r="I375" s="302"/>
      <c r="J375" s="303">
        <f t="shared" si="67"/>
        <v>0</v>
      </c>
    </row>
    <row r="376" s="106" customFormat="1" ht="20.1" customHeight="1" spans="1:10">
      <c r="A376" s="279" t="s">
        <v>1992</v>
      </c>
      <c r="B376" s="289" t="s">
        <v>1460</v>
      </c>
      <c r="C376" s="287">
        <v>0</v>
      </c>
      <c r="D376" s="288">
        <f t="shared" si="66"/>
        <v>0</v>
      </c>
      <c r="E376" s="287"/>
      <c r="F376" s="287"/>
      <c r="G376" s="287"/>
      <c r="H376" s="287"/>
      <c r="I376" s="302"/>
      <c r="J376" s="303">
        <f t="shared" si="67"/>
        <v>0</v>
      </c>
    </row>
    <row r="377" s="106" customFormat="1" ht="20.1" customHeight="1" spans="1:10">
      <c r="A377" s="279" t="s">
        <v>1993</v>
      </c>
      <c r="B377" s="286" t="s">
        <v>1462</v>
      </c>
      <c r="C377" s="287">
        <v>0</v>
      </c>
      <c r="D377" s="288">
        <f t="shared" si="66"/>
        <v>0</v>
      </c>
      <c r="E377" s="287"/>
      <c r="F377" s="287"/>
      <c r="G377" s="287"/>
      <c r="H377" s="287"/>
      <c r="I377" s="302"/>
      <c r="J377" s="303">
        <f t="shared" si="67"/>
        <v>0</v>
      </c>
    </row>
    <row r="378" s="106" customFormat="1" ht="20.1" customHeight="1" spans="1:10">
      <c r="A378" s="279" t="s">
        <v>1994</v>
      </c>
      <c r="B378" s="286" t="s">
        <v>1995</v>
      </c>
      <c r="C378" s="287">
        <v>0</v>
      </c>
      <c r="D378" s="288">
        <f t="shared" si="66"/>
        <v>0</v>
      </c>
      <c r="E378" s="287"/>
      <c r="F378" s="287"/>
      <c r="G378" s="287"/>
      <c r="H378" s="287"/>
      <c r="I378" s="302"/>
      <c r="J378" s="303">
        <f t="shared" si="67"/>
        <v>0</v>
      </c>
    </row>
    <row r="379" s="106" customFormat="1" ht="20.1" customHeight="1" spans="1:10">
      <c r="A379" s="279" t="s">
        <v>1996</v>
      </c>
      <c r="B379" s="286" t="s">
        <v>1997</v>
      </c>
      <c r="C379" s="287">
        <v>0</v>
      </c>
      <c r="D379" s="288">
        <f t="shared" si="66"/>
        <v>0</v>
      </c>
      <c r="E379" s="287"/>
      <c r="F379" s="287"/>
      <c r="G379" s="287"/>
      <c r="H379" s="287"/>
      <c r="I379" s="302"/>
      <c r="J379" s="303">
        <f t="shared" si="67"/>
        <v>0</v>
      </c>
    </row>
    <row r="380" s="106" customFormat="1" ht="20.1" customHeight="1" spans="1:10">
      <c r="A380" s="279" t="s">
        <v>1998</v>
      </c>
      <c r="B380" s="289" t="s">
        <v>1999</v>
      </c>
      <c r="C380" s="287">
        <v>0</v>
      </c>
      <c r="D380" s="288">
        <f t="shared" si="66"/>
        <v>0</v>
      </c>
      <c r="E380" s="287"/>
      <c r="F380" s="287"/>
      <c r="G380" s="287"/>
      <c r="H380" s="287"/>
      <c r="I380" s="302"/>
      <c r="J380" s="303">
        <f t="shared" si="67"/>
        <v>0</v>
      </c>
    </row>
    <row r="381" s="106" customFormat="1" ht="20.1" customHeight="1" spans="1:10">
      <c r="A381" s="279" t="s">
        <v>2000</v>
      </c>
      <c r="B381" s="289" t="s">
        <v>1553</v>
      </c>
      <c r="C381" s="287">
        <v>0</v>
      </c>
      <c r="D381" s="288">
        <f t="shared" si="66"/>
        <v>0</v>
      </c>
      <c r="E381" s="287"/>
      <c r="F381" s="287"/>
      <c r="G381" s="287"/>
      <c r="H381" s="287"/>
      <c r="I381" s="302"/>
      <c r="J381" s="303">
        <f t="shared" si="67"/>
        <v>0</v>
      </c>
    </row>
    <row r="382" s="106" customFormat="1" ht="20.1" customHeight="1" spans="1:10">
      <c r="A382" s="279" t="s">
        <v>2001</v>
      </c>
      <c r="B382" s="289" t="s">
        <v>1476</v>
      </c>
      <c r="C382" s="287">
        <v>0</v>
      </c>
      <c r="D382" s="288">
        <f t="shared" si="66"/>
        <v>0</v>
      </c>
      <c r="E382" s="287"/>
      <c r="F382" s="287"/>
      <c r="G382" s="287"/>
      <c r="H382" s="287"/>
      <c r="I382" s="302"/>
      <c r="J382" s="303">
        <f t="shared" si="67"/>
        <v>0</v>
      </c>
    </row>
    <row r="383" s="106" customFormat="1" ht="20.1" customHeight="1" spans="1:10">
      <c r="A383" s="279" t="s">
        <v>2002</v>
      </c>
      <c r="B383" s="289" t="s">
        <v>2003</v>
      </c>
      <c r="C383" s="287">
        <v>0</v>
      </c>
      <c r="D383" s="288">
        <f t="shared" si="66"/>
        <v>0</v>
      </c>
      <c r="E383" s="287"/>
      <c r="F383" s="287"/>
      <c r="G383" s="287"/>
      <c r="H383" s="287"/>
      <c r="I383" s="302"/>
      <c r="J383" s="303">
        <f t="shared" si="67"/>
        <v>0</v>
      </c>
    </row>
    <row r="384" s="107" customFormat="1" ht="20.1" customHeight="1" spans="1:10">
      <c r="A384" s="283" t="s">
        <v>572</v>
      </c>
      <c r="B384" s="284" t="s">
        <v>2004</v>
      </c>
      <c r="C384" s="285">
        <f t="shared" ref="C384:I384" si="74">SUM(C385:C391)</f>
        <v>0</v>
      </c>
      <c r="D384" s="285">
        <f t="shared" si="66"/>
        <v>0</v>
      </c>
      <c r="E384" s="285">
        <f t="shared" si="74"/>
        <v>0</v>
      </c>
      <c r="F384" s="285">
        <f t="shared" si="74"/>
        <v>0</v>
      </c>
      <c r="G384" s="285">
        <f t="shared" si="74"/>
        <v>0</v>
      </c>
      <c r="H384" s="285">
        <f t="shared" si="74"/>
        <v>0</v>
      </c>
      <c r="I384" s="285">
        <f t="shared" si="74"/>
        <v>0</v>
      </c>
      <c r="J384" s="299">
        <f t="shared" si="67"/>
        <v>0</v>
      </c>
    </row>
    <row r="385" s="106" customFormat="1" ht="20.1" customHeight="1" spans="1:10">
      <c r="A385" s="279" t="s">
        <v>2005</v>
      </c>
      <c r="B385" s="286" t="s">
        <v>1458</v>
      </c>
      <c r="C385" s="287">
        <v>0</v>
      </c>
      <c r="D385" s="288">
        <f t="shared" si="66"/>
        <v>0</v>
      </c>
      <c r="E385" s="287"/>
      <c r="F385" s="287"/>
      <c r="G385" s="287"/>
      <c r="H385" s="287"/>
      <c r="I385" s="302"/>
      <c r="J385" s="303">
        <f t="shared" si="67"/>
        <v>0</v>
      </c>
    </row>
    <row r="386" s="106" customFormat="1" ht="20.1" customHeight="1" spans="1:10">
      <c r="A386" s="279" t="s">
        <v>2006</v>
      </c>
      <c r="B386" s="286" t="s">
        <v>1460</v>
      </c>
      <c r="C386" s="287">
        <v>0</v>
      </c>
      <c r="D386" s="288">
        <f t="shared" si="66"/>
        <v>0</v>
      </c>
      <c r="E386" s="287"/>
      <c r="F386" s="287"/>
      <c r="G386" s="287"/>
      <c r="H386" s="287"/>
      <c r="I386" s="302"/>
      <c r="J386" s="303">
        <f t="shared" si="67"/>
        <v>0</v>
      </c>
    </row>
    <row r="387" s="106" customFormat="1" ht="20.1" customHeight="1" spans="1:10">
      <c r="A387" s="279" t="s">
        <v>2007</v>
      </c>
      <c r="B387" s="286" t="s">
        <v>1462</v>
      </c>
      <c r="C387" s="287">
        <v>0</v>
      </c>
      <c r="D387" s="288">
        <f t="shared" si="66"/>
        <v>0</v>
      </c>
      <c r="E387" s="287"/>
      <c r="F387" s="287"/>
      <c r="G387" s="287"/>
      <c r="H387" s="287"/>
      <c r="I387" s="302"/>
      <c r="J387" s="303">
        <f t="shared" si="67"/>
        <v>0</v>
      </c>
    </row>
    <row r="388" s="106" customFormat="1" ht="20.1" customHeight="1" spans="1:10">
      <c r="A388" s="279" t="s">
        <v>2008</v>
      </c>
      <c r="B388" s="289" t="s">
        <v>2009</v>
      </c>
      <c r="C388" s="287">
        <v>0</v>
      </c>
      <c r="D388" s="288">
        <f t="shared" ref="D388:D451" si="75">SUM(E388:I388)</f>
        <v>0</v>
      </c>
      <c r="E388" s="287"/>
      <c r="F388" s="287"/>
      <c r="G388" s="287"/>
      <c r="H388" s="287"/>
      <c r="I388" s="302"/>
      <c r="J388" s="303">
        <f t="shared" ref="J388:J398" si="76">ROUND(IF(C388=0,IF(D388=0,0,1),IF(D388=0,-1,D388/C388)),4)*100</f>
        <v>0</v>
      </c>
    </row>
    <row r="389" s="106" customFormat="1" ht="20.1" customHeight="1" spans="1:10">
      <c r="A389" s="279" t="s">
        <v>2010</v>
      </c>
      <c r="B389" s="289" t="s">
        <v>2011</v>
      </c>
      <c r="C389" s="287">
        <v>0</v>
      </c>
      <c r="D389" s="288">
        <f t="shared" si="75"/>
        <v>0</v>
      </c>
      <c r="E389" s="287"/>
      <c r="F389" s="287"/>
      <c r="G389" s="287"/>
      <c r="H389" s="287"/>
      <c r="I389" s="302"/>
      <c r="J389" s="303">
        <f t="shared" si="76"/>
        <v>0</v>
      </c>
    </row>
    <row r="390" s="106" customFormat="1" ht="20.1" customHeight="1" spans="1:10">
      <c r="A390" s="279" t="s">
        <v>2012</v>
      </c>
      <c r="B390" s="289" t="s">
        <v>1476</v>
      </c>
      <c r="C390" s="287">
        <v>0</v>
      </c>
      <c r="D390" s="288">
        <f t="shared" si="75"/>
        <v>0</v>
      </c>
      <c r="E390" s="287"/>
      <c r="F390" s="287"/>
      <c r="G390" s="287"/>
      <c r="H390" s="287"/>
      <c r="I390" s="302"/>
      <c r="J390" s="303">
        <f t="shared" si="76"/>
        <v>0</v>
      </c>
    </row>
    <row r="391" s="106" customFormat="1" ht="20.1" customHeight="1" spans="1:10">
      <c r="A391" s="279" t="s">
        <v>2013</v>
      </c>
      <c r="B391" s="286" t="s">
        <v>2014</v>
      </c>
      <c r="C391" s="287">
        <v>0</v>
      </c>
      <c r="D391" s="288">
        <f t="shared" si="75"/>
        <v>0</v>
      </c>
      <c r="E391" s="287"/>
      <c r="F391" s="287"/>
      <c r="G391" s="287"/>
      <c r="H391" s="287"/>
      <c r="I391" s="302"/>
      <c r="J391" s="303">
        <f t="shared" si="76"/>
        <v>0</v>
      </c>
    </row>
    <row r="392" s="107" customFormat="1" ht="20.1" customHeight="1" spans="1:10">
      <c r="A392" s="283" t="s">
        <v>574</v>
      </c>
      <c r="B392" s="284" t="s">
        <v>2015</v>
      </c>
      <c r="C392" s="285">
        <f t="shared" ref="C392:I392" si="77">SUM(C393:C397)</f>
        <v>0</v>
      </c>
      <c r="D392" s="285">
        <f t="shared" si="75"/>
        <v>0</v>
      </c>
      <c r="E392" s="285">
        <f t="shared" si="77"/>
        <v>0</v>
      </c>
      <c r="F392" s="285">
        <f t="shared" si="77"/>
        <v>0</v>
      </c>
      <c r="G392" s="285">
        <f t="shared" si="77"/>
        <v>0</v>
      </c>
      <c r="H392" s="285">
        <f t="shared" si="77"/>
        <v>0</v>
      </c>
      <c r="I392" s="285">
        <f t="shared" si="77"/>
        <v>0</v>
      </c>
      <c r="J392" s="299">
        <f t="shared" si="76"/>
        <v>0</v>
      </c>
    </row>
    <row r="393" s="106" customFormat="1" ht="20.1" customHeight="1" spans="1:10">
      <c r="A393" s="279" t="s">
        <v>2016</v>
      </c>
      <c r="B393" s="286" t="s">
        <v>1458</v>
      </c>
      <c r="C393" s="287">
        <v>0</v>
      </c>
      <c r="D393" s="288">
        <f t="shared" si="75"/>
        <v>0</v>
      </c>
      <c r="E393" s="287"/>
      <c r="F393" s="287"/>
      <c r="G393" s="287"/>
      <c r="H393" s="287"/>
      <c r="I393" s="302"/>
      <c r="J393" s="303">
        <f t="shared" si="76"/>
        <v>0</v>
      </c>
    </row>
    <row r="394" s="106" customFormat="1" ht="20.1" customHeight="1" spans="1:10">
      <c r="A394" s="279" t="s">
        <v>2017</v>
      </c>
      <c r="B394" s="289" t="s">
        <v>1460</v>
      </c>
      <c r="C394" s="287">
        <v>0</v>
      </c>
      <c r="D394" s="288">
        <f t="shared" si="75"/>
        <v>0</v>
      </c>
      <c r="E394" s="287"/>
      <c r="F394" s="287"/>
      <c r="G394" s="287"/>
      <c r="H394" s="287"/>
      <c r="I394" s="302"/>
      <c r="J394" s="303">
        <f t="shared" si="76"/>
        <v>0</v>
      </c>
    </row>
    <row r="395" s="106" customFormat="1" ht="20.1" customHeight="1" spans="1:10">
      <c r="A395" s="279" t="s">
        <v>2018</v>
      </c>
      <c r="B395" s="286" t="s">
        <v>1553</v>
      </c>
      <c r="C395" s="287">
        <v>0</v>
      </c>
      <c r="D395" s="288">
        <f t="shared" si="75"/>
        <v>0</v>
      </c>
      <c r="E395" s="287"/>
      <c r="F395" s="287"/>
      <c r="G395" s="287"/>
      <c r="H395" s="287"/>
      <c r="I395" s="302"/>
      <c r="J395" s="303">
        <f t="shared" si="76"/>
        <v>0</v>
      </c>
    </row>
    <row r="396" s="106" customFormat="1" ht="20.1" customHeight="1" spans="1:10">
      <c r="A396" s="279" t="s">
        <v>2019</v>
      </c>
      <c r="B396" s="286" t="s">
        <v>2020</v>
      </c>
      <c r="C396" s="287">
        <v>0</v>
      </c>
      <c r="D396" s="288">
        <f t="shared" si="75"/>
        <v>0</v>
      </c>
      <c r="E396" s="287"/>
      <c r="F396" s="287"/>
      <c r="G396" s="287"/>
      <c r="H396" s="287"/>
      <c r="I396" s="302"/>
      <c r="J396" s="303">
        <f t="shared" si="76"/>
        <v>0</v>
      </c>
    </row>
    <row r="397" s="106" customFormat="1" ht="20.1" customHeight="1" spans="1:10">
      <c r="A397" s="279" t="s">
        <v>2021</v>
      </c>
      <c r="B397" s="286" t="s">
        <v>2022</v>
      </c>
      <c r="C397" s="287">
        <v>0</v>
      </c>
      <c r="D397" s="288">
        <f t="shared" si="75"/>
        <v>0</v>
      </c>
      <c r="E397" s="287"/>
      <c r="F397" s="287"/>
      <c r="G397" s="287"/>
      <c r="H397" s="287"/>
      <c r="I397" s="302"/>
      <c r="J397" s="303">
        <f t="shared" si="76"/>
        <v>0</v>
      </c>
    </row>
    <row r="398" s="107" customFormat="1" ht="20.1" customHeight="1" spans="1:10">
      <c r="A398" s="283" t="s">
        <v>576</v>
      </c>
      <c r="B398" s="284" t="s">
        <v>2023</v>
      </c>
      <c r="C398" s="285">
        <f t="shared" ref="C398:I398" si="78">SUM(C399:C400)</f>
        <v>32</v>
      </c>
      <c r="D398" s="285">
        <f t="shared" si="75"/>
        <v>1179</v>
      </c>
      <c r="E398" s="285">
        <f t="shared" si="78"/>
        <v>1178</v>
      </c>
      <c r="F398" s="285">
        <f t="shared" si="78"/>
        <v>0</v>
      </c>
      <c r="G398" s="285">
        <f t="shared" si="78"/>
        <v>1</v>
      </c>
      <c r="H398" s="285">
        <f t="shared" si="78"/>
        <v>0</v>
      </c>
      <c r="I398" s="285">
        <f t="shared" si="78"/>
        <v>0</v>
      </c>
      <c r="J398" s="299">
        <f t="shared" si="76"/>
        <v>3684.38</v>
      </c>
    </row>
    <row r="399" s="106" customFormat="1" ht="20.1" customHeight="1" spans="1:10">
      <c r="A399" s="279" t="s">
        <v>2024</v>
      </c>
      <c r="B399" s="286" t="s">
        <v>2025</v>
      </c>
      <c r="C399" s="287">
        <v>9</v>
      </c>
      <c r="D399" s="287">
        <f t="shared" si="75"/>
        <v>0</v>
      </c>
      <c r="E399" s="287"/>
      <c r="F399" s="287"/>
      <c r="G399" s="287"/>
      <c r="H399" s="287"/>
      <c r="I399" s="287"/>
      <c r="J399" s="303"/>
    </row>
    <row r="400" s="106" customFormat="1" ht="20.1" customHeight="1" spans="1:10">
      <c r="A400" s="279" t="s">
        <v>2026</v>
      </c>
      <c r="B400" s="286" t="s">
        <v>2027</v>
      </c>
      <c r="C400" s="287">
        <v>23</v>
      </c>
      <c r="D400" s="288">
        <f t="shared" si="75"/>
        <v>1179</v>
      </c>
      <c r="E400" s="287">
        <v>1178</v>
      </c>
      <c r="F400" s="287"/>
      <c r="G400" s="287">
        <v>1</v>
      </c>
      <c r="H400" s="287"/>
      <c r="I400" s="302"/>
      <c r="J400" s="303"/>
    </row>
    <row r="401" s="107" customFormat="1" ht="20.1" customHeight="1" spans="1:10">
      <c r="A401" s="280" t="s">
        <v>578</v>
      </c>
      <c r="B401" s="281" t="s">
        <v>579</v>
      </c>
      <c r="C401" s="282">
        <f t="shared" ref="C401:I401" si="79">C402+C407+C414+C420+C426+C430+C434+C438+C444+C451</f>
        <v>72893</v>
      </c>
      <c r="D401" s="282">
        <f t="shared" si="75"/>
        <v>84348</v>
      </c>
      <c r="E401" s="282">
        <f t="shared" si="79"/>
        <v>19543</v>
      </c>
      <c r="F401" s="282">
        <f t="shared" si="79"/>
        <v>0</v>
      </c>
      <c r="G401" s="282">
        <f t="shared" si="79"/>
        <v>4107</v>
      </c>
      <c r="H401" s="282">
        <f t="shared" si="79"/>
        <v>0</v>
      </c>
      <c r="I401" s="282">
        <f t="shared" si="79"/>
        <v>60698</v>
      </c>
      <c r="J401" s="296">
        <f t="shared" ref="J401:J451" si="80">ROUND(IF(C401=0,IF(D401=0,0,1),IF(D401=0,-1,D401/C401)),4)*100</f>
        <v>115.71</v>
      </c>
    </row>
    <row r="402" s="107" customFormat="1" ht="20.1" customHeight="1" spans="1:10">
      <c r="A402" s="283" t="s">
        <v>580</v>
      </c>
      <c r="B402" s="323" t="s">
        <v>2028</v>
      </c>
      <c r="C402" s="285">
        <f t="shared" ref="C402:J402" si="81">SUM(C403:C406)</f>
        <v>3244</v>
      </c>
      <c r="D402" s="285">
        <f t="shared" si="75"/>
        <v>170</v>
      </c>
      <c r="E402" s="285">
        <f t="shared" si="81"/>
        <v>0</v>
      </c>
      <c r="F402" s="285">
        <f t="shared" si="81"/>
        <v>0</v>
      </c>
      <c r="G402" s="285">
        <f t="shared" si="81"/>
        <v>0</v>
      </c>
      <c r="H402" s="285">
        <f t="shared" si="81"/>
        <v>0</v>
      </c>
      <c r="I402" s="285">
        <f t="shared" si="81"/>
        <v>170</v>
      </c>
      <c r="J402" s="324">
        <f t="shared" si="81"/>
        <v>5.24</v>
      </c>
    </row>
    <row r="403" s="106" customFormat="1" ht="20.1" customHeight="1" spans="1:10">
      <c r="A403" s="279" t="s">
        <v>2029</v>
      </c>
      <c r="B403" s="286" t="s">
        <v>1458</v>
      </c>
      <c r="C403" s="287">
        <v>3244</v>
      </c>
      <c r="D403" s="288">
        <f t="shared" si="75"/>
        <v>170</v>
      </c>
      <c r="E403" s="287"/>
      <c r="F403" s="287"/>
      <c r="G403" s="287"/>
      <c r="H403" s="287"/>
      <c r="I403" s="302">
        <v>170</v>
      </c>
      <c r="J403" s="303">
        <f t="shared" si="80"/>
        <v>5.24</v>
      </c>
    </row>
    <row r="404" s="106" customFormat="1" ht="20.1" customHeight="1" spans="1:10">
      <c r="A404" s="279" t="s">
        <v>2030</v>
      </c>
      <c r="B404" s="286" t="s">
        <v>1460</v>
      </c>
      <c r="C404" s="287"/>
      <c r="D404" s="288">
        <f t="shared" si="75"/>
        <v>0</v>
      </c>
      <c r="E404" s="287"/>
      <c r="F404" s="287"/>
      <c r="G404" s="287"/>
      <c r="H404" s="287"/>
      <c r="I404" s="302"/>
      <c r="J404" s="303">
        <f t="shared" si="80"/>
        <v>0</v>
      </c>
    </row>
    <row r="405" s="106" customFormat="1" ht="20.1" customHeight="1" spans="1:10">
      <c r="A405" s="279" t="s">
        <v>2031</v>
      </c>
      <c r="B405" s="286" t="s">
        <v>1462</v>
      </c>
      <c r="C405" s="287"/>
      <c r="D405" s="288">
        <f t="shared" si="75"/>
        <v>0</v>
      </c>
      <c r="E405" s="287"/>
      <c r="F405" s="287"/>
      <c r="G405" s="287"/>
      <c r="H405" s="287"/>
      <c r="I405" s="302"/>
      <c r="J405" s="303">
        <f t="shared" si="80"/>
        <v>0</v>
      </c>
    </row>
    <row r="406" s="106" customFormat="1" ht="20.1" customHeight="1" spans="1:10">
      <c r="A406" s="279" t="s">
        <v>2032</v>
      </c>
      <c r="B406" s="289" t="s">
        <v>2033</v>
      </c>
      <c r="C406" s="287"/>
      <c r="D406" s="288">
        <f t="shared" si="75"/>
        <v>0</v>
      </c>
      <c r="E406" s="287"/>
      <c r="F406" s="287"/>
      <c r="G406" s="287"/>
      <c r="H406" s="287"/>
      <c r="I406" s="302"/>
      <c r="J406" s="303">
        <f t="shared" si="80"/>
        <v>0</v>
      </c>
    </row>
    <row r="407" s="107" customFormat="1" ht="20.1" customHeight="1" spans="1:10">
      <c r="A407" s="283" t="s">
        <v>582</v>
      </c>
      <c r="B407" s="323" t="s">
        <v>2034</v>
      </c>
      <c r="C407" s="285">
        <f t="shared" ref="C407:I407" si="82">SUM(C408:C413)</f>
        <v>68826</v>
      </c>
      <c r="D407" s="285">
        <f t="shared" si="75"/>
        <v>82576</v>
      </c>
      <c r="E407" s="285">
        <f t="shared" si="82"/>
        <v>19543</v>
      </c>
      <c r="F407" s="285">
        <f t="shared" si="82"/>
        <v>0</v>
      </c>
      <c r="G407" s="285">
        <f t="shared" si="82"/>
        <v>4019</v>
      </c>
      <c r="H407" s="285">
        <f t="shared" si="82"/>
        <v>0</v>
      </c>
      <c r="I407" s="285">
        <f t="shared" si="82"/>
        <v>59014</v>
      </c>
      <c r="J407" s="324">
        <f t="shared" si="80"/>
        <v>119.98</v>
      </c>
    </row>
    <row r="408" s="106" customFormat="1" ht="20.1" customHeight="1" spans="1:10">
      <c r="A408" s="279" t="s">
        <v>2035</v>
      </c>
      <c r="B408" s="286" t="s">
        <v>2036</v>
      </c>
      <c r="C408" s="287">
        <v>2419</v>
      </c>
      <c r="D408" s="288">
        <f t="shared" si="75"/>
        <v>4394</v>
      </c>
      <c r="E408" s="287">
        <v>1186</v>
      </c>
      <c r="F408" s="287"/>
      <c r="G408" s="287">
        <v>1073</v>
      </c>
      <c r="H408" s="287"/>
      <c r="I408" s="302">
        <v>2135</v>
      </c>
      <c r="J408" s="303">
        <f t="shared" si="80"/>
        <v>181.65</v>
      </c>
    </row>
    <row r="409" s="106" customFormat="1" ht="20.1" customHeight="1" spans="1:10">
      <c r="A409" s="279" t="s">
        <v>2037</v>
      </c>
      <c r="B409" s="286" t="s">
        <v>2038</v>
      </c>
      <c r="C409" s="287">
        <v>34423</v>
      </c>
      <c r="D409" s="288">
        <f t="shared" si="75"/>
        <v>41537</v>
      </c>
      <c r="E409" s="287">
        <v>7592</v>
      </c>
      <c r="F409" s="287"/>
      <c r="G409" s="287">
        <v>1884</v>
      </c>
      <c r="H409" s="287"/>
      <c r="I409" s="302">
        <v>32061</v>
      </c>
      <c r="J409" s="303">
        <f t="shared" si="80"/>
        <v>120.67</v>
      </c>
    </row>
    <row r="410" s="106" customFormat="1" ht="20.1" customHeight="1" spans="1:10">
      <c r="A410" s="279" t="s">
        <v>2039</v>
      </c>
      <c r="B410" s="289" t="s">
        <v>2040</v>
      </c>
      <c r="C410" s="287">
        <v>20911</v>
      </c>
      <c r="D410" s="288">
        <f t="shared" si="75"/>
        <v>22655</v>
      </c>
      <c r="E410" s="287">
        <v>6614</v>
      </c>
      <c r="F410" s="287"/>
      <c r="G410" s="287">
        <v>571</v>
      </c>
      <c r="H410" s="287"/>
      <c r="I410" s="302">
        <v>15470</v>
      </c>
      <c r="J410" s="303">
        <f t="shared" si="80"/>
        <v>108.34</v>
      </c>
    </row>
    <row r="411" s="106" customFormat="1" ht="20.1" customHeight="1" spans="1:10">
      <c r="A411" s="279" t="s">
        <v>2041</v>
      </c>
      <c r="B411" s="289" t="s">
        <v>2042</v>
      </c>
      <c r="C411" s="287">
        <v>10059</v>
      </c>
      <c r="D411" s="288">
        <f t="shared" si="75"/>
        <v>12663</v>
      </c>
      <c r="E411" s="287">
        <v>4151</v>
      </c>
      <c r="F411" s="287"/>
      <c r="G411" s="287">
        <v>491</v>
      </c>
      <c r="H411" s="287"/>
      <c r="I411" s="302">
        <v>8021</v>
      </c>
      <c r="J411" s="303">
        <f t="shared" si="80"/>
        <v>125.89</v>
      </c>
    </row>
    <row r="412" s="106" customFormat="1" ht="20.1" customHeight="1" spans="1:10">
      <c r="A412" s="279" t="s">
        <v>2043</v>
      </c>
      <c r="B412" s="289" t="s">
        <v>2044</v>
      </c>
      <c r="C412" s="287">
        <v>193</v>
      </c>
      <c r="D412" s="288">
        <f t="shared" si="75"/>
        <v>50</v>
      </c>
      <c r="E412" s="287"/>
      <c r="F412" s="287"/>
      <c r="G412" s="287"/>
      <c r="H412" s="287"/>
      <c r="I412" s="302">
        <v>50</v>
      </c>
      <c r="J412" s="303">
        <f t="shared" si="80"/>
        <v>25.91</v>
      </c>
    </row>
    <row r="413" s="106" customFormat="1" ht="20.1" customHeight="1" spans="1:10">
      <c r="A413" s="279" t="s">
        <v>2045</v>
      </c>
      <c r="B413" s="286" t="s">
        <v>2046</v>
      </c>
      <c r="C413" s="287">
        <v>821</v>
      </c>
      <c r="D413" s="288">
        <f t="shared" si="75"/>
        <v>1277</v>
      </c>
      <c r="E413" s="287"/>
      <c r="F413" s="287"/>
      <c r="G413" s="287"/>
      <c r="H413" s="287"/>
      <c r="I413" s="302">
        <v>1277</v>
      </c>
      <c r="J413" s="303">
        <f t="shared" si="80"/>
        <v>155.54</v>
      </c>
    </row>
    <row r="414" s="107" customFormat="1" ht="20.1" customHeight="1" spans="1:10">
      <c r="A414" s="283" t="s">
        <v>584</v>
      </c>
      <c r="B414" s="323" t="s">
        <v>2047</v>
      </c>
      <c r="C414" s="285">
        <f t="shared" ref="C414:I414" si="83">SUM(C415:C419)</f>
        <v>143</v>
      </c>
      <c r="D414" s="285">
        <f t="shared" si="75"/>
        <v>77</v>
      </c>
      <c r="E414" s="285">
        <f t="shared" si="83"/>
        <v>0</v>
      </c>
      <c r="F414" s="285">
        <f t="shared" si="83"/>
        <v>0</v>
      </c>
      <c r="G414" s="285">
        <f t="shared" si="83"/>
        <v>77</v>
      </c>
      <c r="H414" s="285">
        <f t="shared" si="83"/>
        <v>0</v>
      </c>
      <c r="I414" s="285">
        <f t="shared" si="83"/>
        <v>0</v>
      </c>
      <c r="J414" s="324">
        <f t="shared" si="80"/>
        <v>53.85</v>
      </c>
    </row>
    <row r="415" s="106" customFormat="1" ht="20.1" customHeight="1" spans="1:10">
      <c r="A415" s="279" t="s">
        <v>2048</v>
      </c>
      <c r="B415" s="286" t="s">
        <v>2049</v>
      </c>
      <c r="C415" s="287"/>
      <c r="D415" s="288">
        <f t="shared" si="75"/>
        <v>0</v>
      </c>
      <c r="E415" s="287"/>
      <c r="F415" s="287"/>
      <c r="G415" s="287"/>
      <c r="H415" s="287"/>
      <c r="I415" s="302"/>
      <c r="J415" s="303">
        <f t="shared" si="80"/>
        <v>0</v>
      </c>
    </row>
    <row r="416" s="106" customFormat="1" ht="20.1" customHeight="1" spans="1:10">
      <c r="A416" s="279" t="s">
        <v>2050</v>
      </c>
      <c r="B416" s="286" t="s">
        <v>2051</v>
      </c>
      <c r="C416" s="287"/>
      <c r="D416" s="288">
        <f t="shared" si="75"/>
        <v>0</v>
      </c>
      <c r="E416" s="287"/>
      <c r="F416" s="287"/>
      <c r="G416" s="287"/>
      <c r="H416" s="287"/>
      <c r="I416" s="302"/>
      <c r="J416" s="303">
        <f t="shared" si="80"/>
        <v>0</v>
      </c>
    </row>
    <row r="417" s="106" customFormat="1" ht="20.1" customHeight="1" spans="1:10">
      <c r="A417" s="279" t="s">
        <v>2052</v>
      </c>
      <c r="B417" s="286" t="s">
        <v>2053</v>
      </c>
      <c r="C417" s="287"/>
      <c r="D417" s="288">
        <f t="shared" si="75"/>
        <v>0</v>
      </c>
      <c r="E417" s="287"/>
      <c r="F417" s="287"/>
      <c r="G417" s="287"/>
      <c r="H417" s="287"/>
      <c r="I417" s="302"/>
      <c r="J417" s="303">
        <f t="shared" si="80"/>
        <v>0</v>
      </c>
    </row>
    <row r="418" s="106" customFormat="1" ht="20.1" customHeight="1" spans="1:10">
      <c r="A418" s="279" t="s">
        <v>2054</v>
      </c>
      <c r="B418" s="289" t="s">
        <v>2055</v>
      </c>
      <c r="C418" s="287"/>
      <c r="D418" s="288">
        <f t="shared" si="75"/>
        <v>0</v>
      </c>
      <c r="E418" s="287"/>
      <c r="F418" s="287"/>
      <c r="G418" s="287"/>
      <c r="H418" s="287"/>
      <c r="I418" s="302"/>
      <c r="J418" s="303">
        <f t="shared" si="80"/>
        <v>0</v>
      </c>
    </row>
    <row r="419" s="106" customFormat="1" ht="20.1" customHeight="1" spans="1:10">
      <c r="A419" s="279" t="s">
        <v>2056</v>
      </c>
      <c r="B419" s="289" t="s">
        <v>2057</v>
      </c>
      <c r="C419" s="287">
        <v>143</v>
      </c>
      <c r="D419" s="288">
        <f t="shared" si="75"/>
        <v>77</v>
      </c>
      <c r="E419" s="287"/>
      <c r="F419" s="287"/>
      <c r="G419" s="287">
        <v>77</v>
      </c>
      <c r="H419" s="287"/>
      <c r="I419" s="302"/>
      <c r="J419" s="303">
        <f t="shared" si="80"/>
        <v>53.85</v>
      </c>
    </row>
    <row r="420" s="107" customFormat="1" ht="20.1" customHeight="1" spans="1:10">
      <c r="A420" s="283" t="s">
        <v>586</v>
      </c>
      <c r="B420" s="323" t="s">
        <v>2058</v>
      </c>
      <c r="C420" s="285">
        <v>0</v>
      </c>
      <c r="D420" s="285">
        <f t="shared" si="75"/>
        <v>0</v>
      </c>
      <c r="E420" s="285">
        <f t="shared" ref="E420:H420" si="84">SUM(E421:E425)</f>
        <v>0</v>
      </c>
      <c r="F420" s="285">
        <f t="shared" si="84"/>
        <v>0</v>
      </c>
      <c r="G420" s="285">
        <f>VLOOKUP(A420,[1]√表四、2025年公共财政支出变动表!$A$8:$S$221,18,FALSE)</f>
        <v>0</v>
      </c>
      <c r="H420" s="285">
        <f t="shared" si="84"/>
        <v>0</v>
      </c>
      <c r="I420" s="285"/>
      <c r="J420" s="324">
        <f t="shared" si="80"/>
        <v>0</v>
      </c>
    </row>
    <row r="421" s="106" customFormat="1" ht="20.1" customHeight="1" spans="1:10">
      <c r="A421" s="279" t="s">
        <v>2059</v>
      </c>
      <c r="B421" s="286" t="s">
        <v>2060</v>
      </c>
      <c r="C421" s="287">
        <v>0</v>
      </c>
      <c r="D421" s="288">
        <f t="shared" si="75"/>
        <v>0</v>
      </c>
      <c r="E421" s="287"/>
      <c r="F421" s="287"/>
      <c r="G421" s="287"/>
      <c r="H421" s="287"/>
      <c r="I421" s="302"/>
      <c r="J421" s="303">
        <f t="shared" si="80"/>
        <v>0</v>
      </c>
    </row>
    <row r="422" s="106" customFormat="1" ht="20.1" customHeight="1" spans="1:10">
      <c r="A422" s="279" t="s">
        <v>2061</v>
      </c>
      <c r="B422" s="286" t="s">
        <v>2062</v>
      </c>
      <c r="C422" s="287">
        <v>0</v>
      </c>
      <c r="D422" s="288">
        <f t="shared" si="75"/>
        <v>0</v>
      </c>
      <c r="E422" s="287"/>
      <c r="F422" s="287"/>
      <c r="G422" s="287"/>
      <c r="H422" s="287"/>
      <c r="I422" s="302"/>
      <c r="J422" s="303">
        <f t="shared" si="80"/>
        <v>0</v>
      </c>
    </row>
    <row r="423" s="106" customFormat="1" ht="20.1" customHeight="1" spans="1:10">
      <c r="A423" s="279" t="s">
        <v>2063</v>
      </c>
      <c r="B423" s="286" t="s">
        <v>2064</v>
      </c>
      <c r="C423" s="287">
        <v>0</v>
      </c>
      <c r="D423" s="288">
        <f t="shared" si="75"/>
        <v>0</v>
      </c>
      <c r="E423" s="287"/>
      <c r="F423" s="287"/>
      <c r="G423" s="287"/>
      <c r="H423" s="287"/>
      <c r="I423" s="302"/>
      <c r="J423" s="303">
        <f t="shared" si="80"/>
        <v>0</v>
      </c>
    </row>
    <row r="424" s="106" customFormat="1" ht="20.1" customHeight="1" spans="1:10">
      <c r="A424" s="279" t="s">
        <v>2065</v>
      </c>
      <c r="B424" s="289" t="s">
        <v>2066</v>
      </c>
      <c r="C424" s="287">
        <v>0</v>
      </c>
      <c r="D424" s="288">
        <f t="shared" si="75"/>
        <v>0</v>
      </c>
      <c r="E424" s="287"/>
      <c r="F424" s="287"/>
      <c r="G424" s="287"/>
      <c r="H424" s="287"/>
      <c r="I424" s="302"/>
      <c r="J424" s="303">
        <f t="shared" si="80"/>
        <v>0</v>
      </c>
    </row>
    <row r="425" s="106" customFormat="1" ht="20.1" customHeight="1" spans="1:10">
      <c r="A425" s="279" t="s">
        <v>2067</v>
      </c>
      <c r="B425" s="289" t="s">
        <v>2068</v>
      </c>
      <c r="C425" s="287">
        <v>0</v>
      </c>
      <c r="D425" s="288">
        <f t="shared" si="75"/>
        <v>0</v>
      </c>
      <c r="E425" s="287"/>
      <c r="F425" s="287"/>
      <c r="G425" s="287"/>
      <c r="H425" s="287"/>
      <c r="I425" s="302"/>
      <c r="J425" s="303">
        <f t="shared" si="80"/>
        <v>0</v>
      </c>
    </row>
    <row r="426" s="107" customFormat="1" ht="20.1" customHeight="1" spans="1:10">
      <c r="A426" s="283" t="s">
        <v>588</v>
      </c>
      <c r="B426" s="323" t="s">
        <v>2069</v>
      </c>
      <c r="C426" s="285"/>
      <c r="D426" s="285">
        <f t="shared" si="75"/>
        <v>0</v>
      </c>
      <c r="E426" s="285">
        <f t="shared" ref="E426:H426" si="85">SUM(E427:E429)</f>
        <v>0</v>
      </c>
      <c r="F426" s="285">
        <f t="shared" si="85"/>
        <v>0</v>
      </c>
      <c r="G426" s="285">
        <f>VLOOKUP(A426,[1]√表四、2025年公共财政支出变动表!$A$8:$S$221,18,FALSE)</f>
        <v>0</v>
      </c>
      <c r="H426" s="285">
        <f t="shared" si="85"/>
        <v>0</v>
      </c>
      <c r="I426" s="285"/>
      <c r="J426" s="324">
        <f t="shared" si="80"/>
        <v>0</v>
      </c>
    </row>
    <row r="427" s="106" customFormat="1" ht="20.1" customHeight="1" spans="1:10">
      <c r="A427" s="279" t="s">
        <v>2070</v>
      </c>
      <c r="B427" s="286" t="s">
        <v>2071</v>
      </c>
      <c r="C427" s="287">
        <v>0</v>
      </c>
      <c r="D427" s="288">
        <f t="shared" si="75"/>
        <v>0</v>
      </c>
      <c r="E427" s="287"/>
      <c r="F427" s="287"/>
      <c r="G427" s="287"/>
      <c r="H427" s="287"/>
      <c r="I427" s="302"/>
      <c r="J427" s="303">
        <f t="shared" si="80"/>
        <v>0</v>
      </c>
    </row>
    <row r="428" s="106" customFormat="1" ht="20.1" customHeight="1" spans="1:10">
      <c r="A428" s="279" t="s">
        <v>2072</v>
      </c>
      <c r="B428" s="286" t="s">
        <v>2073</v>
      </c>
      <c r="C428" s="287"/>
      <c r="D428" s="288">
        <f t="shared" si="75"/>
        <v>0</v>
      </c>
      <c r="E428" s="287"/>
      <c r="F428" s="287"/>
      <c r="G428" s="287"/>
      <c r="H428" s="287"/>
      <c r="I428" s="302"/>
      <c r="J428" s="303">
        <f t="shared" si="80"/>
        <v>0</v>
      </c>
    </row>
    <row r="429" s="106" customFormat="1" ht="20.1" customHeight="1" spans="1:10">
      <c r="A429" s="279" t="s">
        <v>2074</v>
      </c>
      <c r="B429" s="286" t="s">
        <v>2075</v>
      </c>
      <c r="C429" s="287">
        <v>0</v>
      </c>
      <c r="D429" s="288">
        <f t="shared" si="75"/>
        <v>0</v>
      </c>
      <c r="E429" s="287"/>
      <c r="F429" s="287"/>
      <c r="G429" s="287"/>
      <c r="H429" s="287"/>
      <c r="I429" s="302"/>
      <c r="J429" s="303">
        <f t="shared" si="80"/>
        <v>0</v>
      </c>
    </row>
    <row r="430" s="107" customFormat="1" ht="20.1" customHeight="1" spans="1:10">
      <c r="A430" s="283" t="s">
        <v>590</v>
      </c>
      <c r="B430" s="323" t="s">
        <v>2076</v>
      </c>
      <c r="C430" s="285">
        <v>0</v>
      </c>
      <c r="D430" s="285">
        <f t="shared" si="75"/>
        <v>0</v>
      </c>
      <c r="E430" s="285">
        <f t="shared" ref="E430:H430" si="86">SUM(E431:E433)</f>
        <v>0</v>
      </c>
      <c r="F430" s="285">
        <f t="shared" si="86"/>
        <v>0</v>
      </c>
      <c r="G430" s="285">
        <f>VLOOKUP(A430,[1]√表四、2025年公共财政支出变动表!$A$8:$S$221,18,FALSE)</f>
        <v>0</v>
      </c>
      <c r="H430" s="285">
        <f t="shared" si="86"/>
        <v>0</v>
      </c>
      <c r="I430" s="285"/>
      <c r="J430" s="324">
        <f t="shared" si="80"/>
        <v>0</v>
      </c>
    </row>
    <row r="431" s="106" customFormat="1" ht="20.1" customHeight="1" spans="1:10">
      <c r="A431" s="279" t="s">
        <v>2077</v>
      </c>
      <c r="B431" s="289" t="s">
        <v>2078</v>
      </c>
      <c r="C431" s="287">
        <v>0</v>
      </c>
      <c r="D431" s="288">
        <f t="shared" si="75"/>
        <v>0</v>
      </c>
      <c r="E431" s="287"/>
      <c r="F431" s="287"/>
      <c r="G431" s="287"/>
      <c r="H431" s="287"/>
      <c r="I431" s="302"/>
      <c r="J431" s="303">
        <f t="shared" si="80"/>
        <v>0</v>
      </c>
    </row>
    <row r="432" s="106" customFormat="1" ht="20.1" customHeight="1" spans="1:10">
      <c r="A432" s="279" t="s">
        <v>2079</v>
      </c>
      <c r="B432" s="289" t="s">
        <v>2080</v>
      </c>
      <c r="C432" s="287">
        <v>0</v>
      </c>
      <c r="D432" s="288">
        <f t="shared" si="75"/>
        <v>0</v>
      </c>
      <c r="E432" s="287"/>
      <c r="F432" s="287"/>
      <c r="G432" s="287"/>
      <c r="H432" s="287"/>
      <c r="I432" s="302"/>
      <c r="J432" s="303">
        <f t="shared" si="80"/>
        <v>0</v>
      </c>
    </row>
    <row r="433" s="106" customFormat="1" ht="20.1" customHeight="1" spans="1:10">
      <c r="A433" s="279" t="s">
        <v>2081</v>
      </c>
      <c r="B433" s="41" t="s">
        <v>2082</v>
      </c>
      <c r="C433" s="287">
        <v>0</v>
      </c>
      <c r="D433" s="288">
        <f t="shared" si="75"/>
        <v>0</v>
      </c>
      <c r="E433" s="287"/>
      <c r="F433" s="287"/>
      <c r="G433" s="287"/>
      <c r="H433" s="287"/>
      <c r="I433" s="302"/>
      <c r="J433" s="303">
        <f t="shared" si="80"/>
        <v>0</v>
      </c>
    </row>
    <row r="434" s="107" customFormat="1" ht="20.1" customHeight="1" spans="1:10">
      <c r="A434" s="283" t="s">
        <v>592</v>
      </c>
      <c r="B434" s="323" t="s">
        <v>2083</v>
      </c>
      <c r="C434" s="285">
        <f t="shared" ref="C434:I434" si="87">SUM(C435:C437)</f>
        <v>387</v>
      </c>
      <c r="D434" s="285">
        <f t="shared" si="75"/>
        <v>295</v>
      </c>
      <c r="E434" s="285">
        <f t="shared" si="87"/>
        <v>0</v>
      </c>
      <c r="F434" s="285">
        <f t="shared" si="87"/>
        <v>0</v>
      </c>
      <c r="G434" s="285">
        <f t="shared" si="87"/>
        <v>11</v>
      </c>
      <c r="H434" s="285">
        <f t="shared" si="87"/>
        <v>0</v>
      </c>
      <c r="I434" s="285">
        <f t="shared" si="87"/>
        <v>284</v>
      </c>
      <c r="J434" s="324">
        <f t="shared" si="80"/>
        <v>76.23</v>
      </c>
    </row>
    <row r="435" s="106" customFormat="1" ht="20.1" customHeight="1" spans="1:10">
      <c r="A435" s="279" t="s">
        <v>2084</v>
      </c>
      <c r="B435" s="286" t="s">
        <v>2085</v>
      </c>
      <c r="C435" s="287">
        <v>387</v>
      </c>
      <c r="D435" s="288">
        <f t="shared" si="75"/>
        <v>295</v>
      </c>
      <c r="E435" s="287"/>
      <c r="F435" s="287"/>
      <c r="G435" s="287">
        <v>11</v>
      </c>
      <c r="H435" s="287"/>
      <c r="I435" s="302">
        <v>284</v>
      </c>
      <c r="J435" s="303">
        <f t="shared" si="80"/>
        <v>76.23</v>
      </c>
    </row>
    <row r="436" s="106" customFormat="1" ht="20.1" customHeight="1" spans="1:10">
      <c r="A436" s="279" t="s">
        <v>2086</v>
      </c>
      <c r="B436" s="286" t="s">
        <v>2087</v>
      </c>
      <c r="C436" s="287"/>
      <c r="D436" s="288">
        <f t="shared" si="75"/>
        <v>0</v>
      </c>
      <c r="E436" s="287"/>
      <c r="F436" s="287"/>
      <c r="G436" s="287"/>
      <c r="H436" s="287"/>
      <c r="I436" s="302"/>
      <c r="J436" s="303">
        <f t="shared" si="80"/>
        <v>0</v>
      </c>
    </row>
    <row r="437" s="106" customFormat="1" ht="20.1" customHeight="1" spans="1:10">
      <c r="A437" s="279" t="s">
        <v>2088</v>
      </c>
      <c r="B437" s="289" t="s">
        <v>2089</v>
      </c>
      <c r="C437" s="287"/>
      <c r="D437" s="288">
        <f t="shared" si="75"/>
        <v>0</v>
      </c>
      <c r="E437" s="287"/>
      <c r="F437" s="287"/>
      <c r="G437" s="287"/>
      <c r="H437" s="287"/>
      <c r="I437" s="302"/>
      <c r="J437" s="303">
        <f t="shared" si="80"/>
        <v>0</v>
      </c>
    </row>
    <row r="438" s="107" customFormat="1" ht="20.1" customHeight="1" spans="1:10">
      <c r="A438" s="283" t="s">
        <v>594</v>
      </c>
      <c r="B438" s="323" t="s">
        <v>2090</v>
      </c>
      <c r="C438" s="285">
        <f t="shared" ref="C438:I438" si="88">SUM(C439:C443)</f>
        <v>279</v>
      </c>
      <c r="D438" s="285">
        <f t="shared" si="75"/>
        <v>290</v>
      </c>
      <c r="E438" s="285">
        <f t="shared" si="88"/>
        <v>0</v>
      </c>
      <c r="F438" s="285">
        <f t="shared" si="88"/>
        <v>0</v>
      </c>
      <c r="G438" s="285">
        <f t="shared" si="88"/>
        <v>0</v>
      </c>
      <c r="H438" s="285">
        <f t="shared" si="88"/>
        <v>0</v>
      </c>
      <c r="I438" s="285">
        <f t="shared" si="88"/>
        <v>290</v>
      </c>
      <c r="J438" s="324">
        <f t="shared" si="80"/>
        <v>103.94</v>
      </c>
    </row>
    <row r="439" s="106" customFormat="1" ht="20.1" customHeight="1" spans="1:10">
      <c r="A439" s="279" t="s">
        <v>2091</v>
      </c>
      <c r="B439" s="289" t="s">
        <v>2092</v>
      </c>
      <c r="C439" s="287"/>
      <c r="D439" s="288">
        <f t="shared" si="75"/>
        <v>0</v>
      </c>
      <c r="E439" s="287"/>
      <c r="F439" s="287"/>
      <c r="G439" s="287"/>
      <c r="H439" s="287"/>
      <c r="I439" s="302"/>
      <c r="J439" s="303">
        <f t="shared" si="80"/>
        <v>0</v>
      </c>
    </row>
    <row r="440" s="106" customFormat="1" ht="20.1" customHeight="1" spans="1:10">
      <c r="A440" s="279" t="s">
        <v>2093</v>
      </c>
      <c r="B440" s="286" t="s">
        <v>2094</v>
      </c>
      <c r="C440" s="287">
        <v>279</v>
      </c>
      <c r="D440" s="288">
        <f t="shared" si="75"/>
        <v>290</v>
      </c>
      <c r="E440" s="287"/>
      <c r="F440" s="287"/>
      <c r="G440" s="287"/>
      <c r="H440" s="287"/>
      <c r="I440" s="302">
        <v>290</v>
      </c>
      <c r="J440" s="303">
        <f t="shared" si="80"/>
        <v>103.94</v>
      </c>
    </row>
    <row r="441" s="106" customFormat="1" ht="20.1" customHeight="1" spans="1:10">
      <c r="A441" s="279" t="s">
        <v>2095</v>
      </c>
      <c r="B441" s="286" t="s">
        <v>2096</v>
      </c>
      <c r="C441" s="287"/>
      <c r="D441" s="288">
        <f t="shared" si="75"/>
        <v>0</v>
      </c>
      <c r="E441" s="287"/>
      <c r="F441" s="287"/>
      <c r="G441" s="287"/>
      <c r="H441" s="287"/>
      <c r="I441" s="302"/>
      <c r="J441" s="303">
        <f t="shared" si="80"/>
        <v>0</v>
      </c>
    </row>
    <row r="442" s="106" customFormat="1" ht="20.1" customHeight="1" spans="1:10">
      <c r="A442" s="279" t="s">
        <v>2097</v>
      </c>
      <c r="B442" s="286" t="s">
        <v>2098</v>
      </c>
      <c r="C442" s="287"/>
      <c r="D442" s="288">
        <f t="shared" si="75"/>
        <v>0</v>
      </c>
      <c r="E442" s="287"/>
      <c r="F442" s="287"/>
      <c r="G442" s="287"/>
      <c r="H442" s="287"/>
      <c r="I442" s="302"/>
      <c r="J442" s="303">
        <f t="shared" si="80"/>
        <v>0</v>
      </c>
    </row>
    <row r="443" s="106" customFormat="1" ht="20.1" customHeight="1" spans="1:10">
      <c r="A443" s="279" t="s">
        <v>2099</v>
      </c>
      <c r="B443" s="286" t="s">
        <v>2100</v>
      </c>
      <c r="C443" s="287"/>
      <c r="D443" s="288">
        <f t="shared" si="75"/>
        <v>0</v>
      </c>
      <c r="E443" s="287"/>
      <c r="F443" s="287"/>
      <c r="G443" s="287"/>
      <c r="H443" s="287"/>
      <c r="I443" s="302"/>
      <c r="J443" s="303">
        <f t="shared" si="80"/>
        <v>0</v>
      </c>
    </row>
    <row r="444" s="107" customFormat="1" ht="20.1" customHeight="1" spans="1:10">
      <c r="A444" s="283" t="s">
        <v>596</v>
      </c>
      <c r="B444" s="689" t="s">
        <v>2101</v>
      </c>
      <c r="C444" s="285">
        <f t="shared" ref="C444:I444" si="89">SUM(C445:C450)</f>
        <v>14</v>
      </c>
      <c r="D444" s="285">
        <f t="shared" si="75"/>
        <v>940</v>
      </c>
      <c r="E444" s="285">
        <f t="shared" si="89"/>
        <v>0</v>
      </c>
      <c r="F444" s="285">
        <f t="shared" si="89"/>
        <v>0</v>
      </c>
      <c r="G444" s="285">
        <f t="shared" si="89"/>
        <v>0</v>
      </c>
      <c r="H444" s="285">
        <f t="shared" si="89"/>
        <v>0</v>
      </c>
      <c r="I444" s="285">
        <f t="shared" si="89"/>
        <v>940</v>
      </c>
      <c r="J444" s="324">
        <f t="shared" si="80"/>
        <v>6714.29</v>
      </c>
    </row>
    <row r="445" s="106" customFormat="1" ht="20.1" customHeight="1" spans="1:10">
      <c r="A445" s="279" t="s">
        <v>2102</v>
      </c>
      <c r="B445" s="289" t="s">
        <v>2103</v>
      </c>
      <c r="C445" s="287">
        <v>14</v>
      </c>
      <c r="D445" s="288">
        <f t="shared" si="75"/>
        <v>940</v>
      </c>
      <c r="E445" s="287"/>
      <c r="F445" s="287"/>
      <c r="G445" s="287"/>
      <c r="H445" s="287"/>
      <c r="I445" s="302">
        <v>940</v>
      </c>
      <c r="J445" s="303">
        <f t="shared" si="80"/>
        <v>6714.29</v>
      </c>
    </row>
    <row r="446" s="106" customFormat="1" ht="20.1" customHeight="1" spans="1:10">
      <c r="A446" s="279" t="s">
        <v>2104</v>
      </c>
      <c r="B446" s="289" t="s">
        <v>2105</v>
      </c>
      <c r="C446" s="287"/>
      <c r="D446" s="288">
        <f t="shared" si="75"/>
        <v>0</v>
      </c>
      <c r="E446" s="287"/>
      <c r="F446" s="287"/>
      <c r="G446" s="287"/>
      <c r="H446" s="287"/>
      <c r="I446" s="302"/>
      <c r="J446" s="303">
        <f t="shared" si="80"/>
        <v>0</v>
      </c>
    </row>
    <row r="447" s="106" customFormat="1" ht="20.1" customHeight="1" spans="1:10">
      <c r="A447" s="279" t="s">
        <v>2106</v>
      </c>
      <c r="B447" s="289" t="s">
        <v>2107</v>
      </c>
      <c r="C447" s="287"/>
      <c r="D447" s="288">
        <f t="shared" si="75"/>
        <v>0</v>
      </c>
      <c r="E447" s="287"/>
      <c r="F447" s="287"/>
      <c r="G447" s="287"/>
      <c r="H447" s="287"/>
      <c r="I447" s="302"/>
      <c r="J447" s="303">
        <f t="shared" si="80"/>
        <v>0</v>
      </c>
    </row>
    <row r="448" s="106" customFormat="1" ht="20.1" customHeight="1" spans="1:10">
      <c r="A448" s="279" t="s">
        <v>2108</v>
      </c>
      <c r="B448" s="41" t="s">
        <v>2109</v>
      </c>
      <c r="C448" s="287"/>
      <c r="D448" s="288">
        <f t="shared" si="75"/>
        <v>0</v>
      </c>
      <c r="E448" s="287"/>
      <c r="F448" s="287"/>
      <c r="G448" s="287"/>
      <c r="H448" s="287"/>
      <c r="I448" s="302"/>
      <c r="J448" s="303">
        <f t="shared" si="80"/>
        <v>0</v>
      </c>
    </row>
    <row r="449" s="106" customFormat="1" ht="20.1" customHeight="1" spans="1:10">
      <c r="A449" s="279" t="s">
        <v>2110</v>
      </c>
      <c r="B449" s="286" t="s">
        <v>2111</v>
      </c>
      <c r="C449" s="287"/>
      <c r="D449" s="288">
        <f t="shared" si="75"/>
        <v>0</v>
      </c>
      <c r="E449" s="287"/>
      <c r="F449" s="287"/>
      <c r="G449" s="287"/>
      <c r="H449" s="287"/>
      <c r="I449" s="302"/>
      <c r="J449" s="303">
        <f t="shared" si="80"/>
        <v>0</v>
      </c>
    </row>
    <row r="450" s="106" customFormat="1" ht="20.1" customHeight="1" spans="1:10">
      <c r="A450" s="279" t="s">
        <v>2112</v>
      </c>
      <c r="B450" s="286" t="s">
        <v>2113</v>
      </c>
      <c r="C450" s="287"/>
      <c r="D450" s="288">
        <f t="shared" si="75"/>
        <v>0</v>
      </c>
      <c r="E450" s="287"/>
      <c r="F450" s="287"/>
      <c r="G450" s="287"/>
      <c r="H450" s="287"/>
      <c r="I450" s="302"/>
      <c r="J450" s="303">
        <f t="shared" si="80"/>
        <v>0</v>
      </c>
    </row>
    <row r="451" s="107" customFormat="1" ht="20.1" customHeight="1" spans="1:10">
      <c r="A451" s="283" t="s">
        <v>598</v>
      </c>
      <c r="B451" s="323" t="s">
        <v>2114</v>
      </c>
      <c r="C451" s="285">
        <f t="shared" ref="C451:I451" si="90">SUM(C452)</f>
        <v>0</v>
      </c>
      <c r="D451" s="285">
        <f t="shared" si="75"/>
        <v>0</v>
      </c>
      <c r="E451" s="285">
        <f t="shared" si="90"/>
        <v>0</v>
      </c>
      <c r="F451" s="285">
        <f t="shared" si="90"/>
        <v>0</v>
      </c>
      <c r="G451" s="285">
        <f t="shared" si="90"/>
        <v>0</v>
      </c>
      <c r="H451" s="285">
        <f t="shared" si="90"/>
        <v>0</v>
      </c>
      <c r="I451" s="285">
        <f t="shared" si="90"/>
        <v>0</v>
      </c>
      <c r="J451" s="324">
        <f t="shared" si="80"/>
        <v>0</v>
      </c>
    </row>
    <row r="452" s="106" customFormat="1" ht="20.1" customHeight="1" spans="1:10">
      <c r="A452" s="279" t="s">
        <v>2115</v>
      </c>
      <c r="B452" s="289" t="s">
        <v>2116</v>
      </c>
      <c r="C452" s="287"/>
      <c r="D452" s="287">
        <f t="shared" ref="D452:D503" si="91">SUM(E452:I452)</f>
        <v>0</v>
      </c>
      <c r="E452" s="287"/>
      <c r="F452" s="287"/>
      <c r="G452" s="287"/>
      <c r="H452" s="287"/>
      <c r="I452" s="287"/>
      <c r="J452" s="236"/>
    </row>
    <row r="453" s="107" customFormat="1" ht="20.1" customHeight="1" spans="1:10">
      <c r="A453" s="280" t="s">
        <v>600</v>
      </c>
      <c r="B453" s="281" t="s">
        <v>601</v>
      </c>
      <c r="C453" s="282">
        <f t="shared" ref="C453:I453" si="92">C454+C459+C468+C474+C479+C484+C489+C496+C500+C504</f>
        <v>3399</v>
      </c>
      <c r="D453" s="282">
        <f t="shared" si="91"/>
        <v>2343</v>
      </c>
      <c r="E453" s="282">
        <f t="shared" si="92"/>
        <v>25</v>
      </c>
      <c r="F453" s="282">
        <f t="shared" si="92"/>
        <v>0</v>
      </c>
      <c r="G453" s="282">
        <f t="shared" si="92"/>
        <v>25</v>
      </c>
      <c r="H453" s="282">
        <f t="shared" si="92"/>
        <v>0</v>
      </c>
      <c r="I453" s="282">
        <f t="shared" si="92"/>
        <v>2293</v>
      </c>
      <c r="J453" s="296">
        <f t="shared" ref="J453:J465" si="93">ROUND(IF(C453=0,IF(D453=0,0,1),IF(D453=0,-1,D453/C453)),4)*100</f>
        <v>68.93</v>
      </c>
    </row>
    <row r="454" s="107" customFormat="1" ht="20.1" customHeight="1" spans="1:10">
      <c r="A454" s="283" t="s">
        <v>602</v>
      </c>
      <c r="B454" s="323" t="s">
        <v>2117</v>
      </c>
      <c r="C454" s="285">
        <f t="shared" ref="C454:I454" si="94">SUM(C455:C458)</f>
        <v>297</v>
      </c>
      <c r="D454" s="285">
        <f t="shared" si="91"/>
        <v>281</v>
      </c>
      <c r="E454" s="285">
        <f t="shared" si="94"/>
        <v>0</v>
      </c>
      <c r="F454" s="285">
        <f t="shared" si="94"/>
        <v>0</v>
      </c>
      <c r="G454" s="285">
        <f t="shared" si="94"/>
        <v>0</v>
      </c>
      <c r="H454" s="285">
        <f t="shared" si="94"/>
        <v>0</v>
      </c>
      <c r="I454" s="285">
        <f t="shared" si="94"/>
        <v>281</v>
      </c>
      <c r="J454" s="324">
        <f t="shared" si="93"/>
        <v>94.61</v>
      </c>
    </row>
    <row r="455" s="106" customFormat="1" ht="20.1" customHeight="1" spans="1:10">
      <c r="A455" s="279" t="s">
        <v>2118</v>
      </c>
      <c r="B455" s="286" t="s">
        <v>1458</v>
      </c>
      <c r="C455" s="287">
        <v>293</v>
      </c>
      <c r="D455" s="288">
        <f t="shared" si="91"/>
        <v>277</v>
      </c>
      <c r="E455" s="287"/>
      <c r="F455" s="287"/>
      <c r="G455" s="287"/>
      <c r="H455" s="287"/>
      <c r="I455" s="302">
        <v>277</v>
      </c>
      <c r="J455" s="303">
        <f t="shared" si="93"/>
        <v>94.54</v>
      </c>
    </row>
    <row r="456" s="106" customFormat="1" ht="20.1" customHeight="1" spans="1:10">
      <c r="A456" s="279" t="s">
        <v>2119</v>
      </c>
      <c r="B456" s="286" t="s">
        <v>1460</v>
      </c>
      <c r="C456" s="287">
        <v>4</v>
      </c>
      <c r="D456" s="288">
        <f t="shared" si="91"/>
        <v>4</v>
      </c>
      <c r="E456" s="287"/>
      <c r="F456" s="287"/>
      <c r="G456" s="287"/>
      <c r="H456" s="287"/>
      <c r="I456" s="302">
        <v>4</v>
      </c>
      <c r="J456" s="303">
        <f t="shared" si="93"/>
        <v>100</v>
      </c>
    </row>
    <row r="457" s="106" customFormat="1" ht="20.1" customHeight="1" spans="1:10">
      <c r="A457" s="279" t="s">
        <v>2120</v>
      </c>
      <c r="B457" s="286" t="s">
        <v>1462</v>
      </c>
      <c r="C457" s="287"/>
      <c r="D457" s="288">
        <f t="shared" si="91"/>
        <v>0</v>
      </c>
      <c r="E457" s="287"/>
      <c r="F457" s="287"/>
      <c r="G457" s="287"/>
      <c r="H457" s="287"/>
      <c r="I457" s="302"/>
      <c r="J457" s="303">
        <f t="shared" si="93"/>
        <v>0</v>
      </c>
    </row>
    <row r="458" s="106" customFormat="1" ht="20.1" customHeight="1" spans="1:10">
      <c r="A458" s="279" t="s">
        <v>2121</v>
      </c>
      <c r="B458" s="289" t="s">
        <v>2122</v>
      </c>
      <c r="C458" s="287"/>
      <c r="D458" s="288">
        <f t="shared" si="91"/>
        <v>0</v>
      </c>
      <c r="E458" s="287"/>
      <c r="F458" s="287"/>
      <c r="G458" s="287"/>
      <c r="H458" s="287"/>
      <c r="I458" s="302"/>
      <c r="J458" s="303">
        <f t="shared" si="93"/>
        <v>0</v>
      </c>
    </row>
    <row r="459" s="107" customFormat="1" ht="20.1" customHeight="1" spans="1:10">
      <c r="A459" s="283" t="s">
        <v>604</v>
      </c>
      <c r="B459" s="323" t="s">
        <v>2123</v>
      </c>
      <c r="C459" s="285">
        <f t="shared" ref="C459:I459" si="95">SUM(C460:C467)</f>
        <v>194</v>
      </c>
      <c r="D459" s="285">
        <f t="shared" si="91"/>
        <v>241</v>
      </c>
      <c r="E459" s="285">
        <f t="shared" si="95"/>
        <v>0</v>
      </c>
      <c r="F459" s="285">
        <f t="shared" si="95"/>
        <v>0</v>
      </c>
      <c r="G459" s="285">
        <f t="shared" si="95"/>
        <v>0</v>
      </c>
      <c r="H459" s="285">
        <f t="shared" si="95"/>
        <v>0</v>
      </c>
      <c r="I459" s="285">
        <f t="shared" si="95"/>
        <v>241</v>
      </c>
      <c r="J459" s="324">
        <f t="shared" si="93"/>
        <v>124.23</v>
      </c>
    </row>
    <row r="460" s="106" customFormat="1" ht="20.1" customHeight="1" spans="1:10">
      <c r="A460" s="279" t="s">
        <v>2124</v>
      </c>
      <c r="B460" s="286" t="s">
        <v>2125</v>
      </c>
      <c r="C460" s="287">
        <v>194</v>
      </c>
      <c r="D460" s="288">
        <f t="shared" si="91"/>
        <v>241</v>
      </c>
      <c r="E460" s="287"/>
      <c r="F460" s="287"/>
      <c r="G460" s="287"/>
      <c r="H460" s="287"/>
      <c r="I460" s="302">
        <v>241</v>
      </c>
      <c r="J460" s="303">
        <f t="shared" si="93"/>
        <v>124.23</v>
      </c>
    </row>
    <row r="461" s="106" customFormat="1" ht="20.1" customHeight="1" spans="1:10">
      <c r="A461" s="279" t="s">
        <v>2126</v>
      </c>
      <c r="B461" s="41" t="s">
        <v>2127</v>
      </c>
      <c r="C461" s="287"/>
      <c r="D461" s="288">
        <f t="shared" si="91"/>
        <v>0</v>
      </c>
      <c r="E461" s="287"/>
      <c r="F461" s="287"/>
      <c r="G461" s="287"/>
      <c r="H461" s="287"/>
      <c r="I461" s="302"/>
      <c r="J461" s="303">
        <f t="shared" si="93"/>
        <v>0</v>
      </c>
    </row>
    <row r="462" s="106" customFormat="1" ht="20.1" customHeight="1" spans="1:10">
      <c r="A462" s="279" t="s">
        <v>2128</v>
      </c>
      <c r="B462" s="286" t="s">
        <v>2129</v>
      </c>
      <c r="C462" s="287"/>
      <c r="D462" s="288">
        <f t="shared" si="91"/>
        <v>0</v>
      </c>
      <c r="E462" s="287"/>
      <c r="F462" s="287"/>
      <c r="G462" s="287"/>
      <c r="H462" s="287"/>
      <c r="I462" s="302"/>
      <c r="J462" s="303">
        <f t="shared" si="93"/>
        <v>0</v>
      </c>
    </row>
    <row r="463" s="106" customFormat="1" ht="20.1" customHeight="1" spans="1:10">
      <c r="A463" s="279" t="s">
        <v>2130</v>
      </c>
      <c r="B463" s="286" t="s">
        <v>2131</v>
      </c>
      <c r="C463" s="287"/>
      <c r="D463" s="288">
        <f t="shared" si="91"/>
        <v>0</v>
      </c>
      <c r="E463" s="287"/>
      <c r="F463" s="287"/>
      <c r="G463" s="287"/>
      <c r="H463" s="287"/>
      <c r="I463" s="302"/>
      <c r="J463" s="303">
        <f t="shared" si="93"/>
        <v>0</v>
      </c>
    </row>
    <row r="464" s="106" customFormat="1" ht="20.1" customHeight="1" spans="1:10">
      <c r="A464" s="279" t="s">
        <v>2132</v>
      </c>
      <c r="B464" s="286" t="s">
        <v>2133</v>
      </c>
      <c r="C464" s="287"/>
      <c r="D464" s="288">
        <f t="shared" si="91"/>
        <v>0</v>
      </c>
      <c r="E464" s="287"/>
      <c r="F464" s="287"/>
      <c r="G464" s="287"/>
      <c r="H464" s="287"/>
      <c r="I464" s="302"/>
      <c r="J464" s="303">
        <f t="shared" si="93"/>
        <v>0</v>
      </c>
    </row>
    <row r="465" s="106" customFormat="1" ht="20.1" customHeight="1" spans="1:10">
      <c r="A465" s="279" t="s">
        <v>2134</v>
      </c>
      <c r="B465" s="289" t="s">
        <v>2135</v>
      </c>
      <c r="C465" s="287"/>
      <c r="D465" s="288">
        <f t="shared" si="91"/>
        <v>0</v>
      </c>
      <c r="E465" s="287"/>
      <c r="F465" s="287"/>
      <c r="G465" s="287"/>
      <c r="H465" s="287"/>
      <c r="I465" s="302"/>
      <c r="J465" s="303">
        <f t="shared" si="93"/>
        <v>0</v>
      </c>
    </row>
    <row r="466" s="106" customFormat="1" ht="20.1" customHeight="1" spans="1:10">
      <c r="A466" s="279" t="s">
        <v>2136</v>
      </c>
      <c r="B466" s="289" t="s">
        <v>2137</v>
      </c>
      <c r="C466" s="287"/>
      <c r="D466" s="288">
        <f t="shared" si="91"/>
        <v>0</v>
      </c>
      <c r="E466" s="287"/>
      <c r="F466" s="287"/>
      <c r="G466" s="287"/>
      <c r="H466" s="287"/>
      <c r="I466" s="302"/>
      <c r="J466" s="303"/>
    </row>
    <row r="467" s="106" customFormat="1" ht="20.1" customHeight="1" spans="1:10">
      <c r="A467" s="279" t="s">
        <v>2138</v>
      </c>
      <c r="B467" s="289" t="s">
        <v>2139</v>
      </c>
      <c r="C467" s="287"/>
      <c r="D467" s="288">
        <f t="shared" si="91"/>
        <v>0</v>
      </c>
      <c r="E467" s="287"/>
      <c r="F467" s="287"/>
      <c r="G467" s="287"/>
      <c r="H467" s="287"/>
      <c r="I467" s="302"/>
      <c r="J467" s="303">
        <f t="shared" ref="J467:J476" si="96">ROUND(IF(C467=0,IF(D467=0,0,1),IF(D467=0,-1,D467/C467)),4)*100</f>
        <v>0</v>
      </c>
    </row>
    <row r="468" s="107" customFormat="1" ht="20.1" customHeight="1" spans="1:10">
      <c r="A468" s="283" t="s">
        <v>606</v>
      </c>
      <c r="B468" s="323" t="s">
        <v>2140</v>
      </c>
      <c r="C468" s="285">
        <f t="shared" ref="C468:F468" si="97">SUM(C469:C473)</f>
        <v>0</v>
      </c>
      <c r="D468" s="285">
        <f t="shared" si="91"/>
        <v>0</v>
      </c>
      <c r="E468" s="285">
        <f t="shared" si="97"/>
        <v>0</v>
      </c>
      <c r="F468" s="285">
        <f t="shared" si="97"/>
        <v>0</v>
      </c>
      <c r="G468" s="285">
        <f>VLOOKUP(A468,[1]√表四、2025年公共财政支出变动表!$A$8:$S$221,18,FALSE)</f>
        <v>0</v>
      </c>
      <c r="H468" s="285">
        <f>SUM(H469:H473)</f>
        <v>0</v>
      </c>
      <c r="I468" s="285"/>
      <c r="J468" s="324">
        <f t="shared" si="96"/>
        <v>0</v>
      </c>
    </row>
    <row r="469" s="106" customFormat="1" ht="20.1" customHeight="1" spans="1:10">
      <c r="A469" s="279" t="s">
        <v>2141</v>
      </c>
      <c r="B469" s="286" t="s">
        <v>2125</v>
      </c>
      <c r="C469" s="287">
        <v>0</v>
      </c>
      <c r="D469" s="288">
        <f t="shared" si="91"/>
        <v>0</v>
      </c>
      <c r="E469" s="287"/>
      <c r="F469" s="287"/>
      <c r="G469" s="287"/>
      <c r="H469" s="287"/>
      <c r="I469" s="302"/>
      <c r="J469" s="303">
        <f t="shared" si="96"/>
        <v>0</v>
      </c>
    </row>
    <row r="470" s="106" customFormat="1" ht="20.1" customHeight="1" spans="1:10">
      <c r="A470" s="279" t="s">
        <v>2142</v>
      </c>
      <c r="B470" s="286" t="s">
        <v>2143</v>
      </c>
      <c r="C470" s="287"/>
      <c r="D470" s="288">
        <f t="shared" si="91"/>
        <v>0</v>
      </c>
      <c r="E470" s="287"/>
      <c r="F470" s="287"/>
      <c r="G470" s="287"/>
      <c r="H470" s="287"/>
      <c r="I470" s="302"/>
      <c r="J470" s="303">
        <f t="shared" si="96"/>
        <v>0</v>
      </c>
    </row>
    <row r="471" s="106" customFormat="1" ht="20.1" customHeight="1" spans="1:10">
      <c r="A471" s="279" t="s">
        <v>2144</v>
      </c>
      <c r="B471" s="286" t="s">
        <v>2145</v>
      </c>
      <c r="C471" s="287">
        <v>0</v>
      </c>
      <c r="D471" s="288">
        <f t="shared" si="91"/>
        <v>0</v>
      </c>
      <c r="E471" s="287"/>
      <c r="F471" s="287"/>
      <c r="G471" s="287"/>
      <c r="H471" s="287"/>
      <c r="I471" s="302"/>
      <c r="J471" s="303">
        <f t="shared" si="96"/>
        <v>0</v>
      </c>
    </row>
    <row r="472" s="106" customFormat="1" ht="20.1" customHeight="1" spans="1:10">
      <c r="A472" s="279" t="s">
        <v>2146</v>
      </c>
      <c r="B472" s="289" t="s">
        <v>2147</v>
      </c>
      <c r="C472" s="287">
        <v>0</v>
      </c>
      <c r="D472" s="288">
        <f t="shared" si="91"/>
        <v>0</v>
      </c>
      <c r="E472" s="287"/>
      <c r="F472" s="287"/>
      <c r="G472" s="287"/>
      <c r="H472" s="287"/>
      <c r="I472" s="302"/>
      <c r="J472" s="303">
        <f t="shared" si="96"/>
        <v>0</v>
      </c>
    </row>
    <row r="473" s="106" customFormat="1" ht="20.1" customHeight="1" spans="1:10">
      <c r="A473" s="279" t="s">
        <v>2148</v>
      </c>
      <c r="B473" s="289" t="s">
        <v>2149</v>
      </c>
      <c r="C473" s="287">
        <v>0</v>
      </c>
      <c r="D473" s="288">
        <f t="shared" si="91"/>
        <v>0</v>
      </c>
      <c r="E473" s="287"/>
      <c r="F473" s="287"/>
      <c r="G473" s="287"/>
      <c r="H473" s="287"/>
      <c r="I473" s="302"/>
      <c r="J473" s="303">
        <f t="shared" si="96"/>
        <v>0</v>
      </c>
    </row>
    <row r="474" s="107" customFormat="1" ht="20.1" customHeight="1" spans="1:10">
      <c r="A474" s="283" t="s">
        <v>608</v>
      </c>
      <c r="B474" s="323" t="s">
        <v>2150</v>
      </c>
      <c r="C474" s="285">
        <f t="shared" ref="C474:I474" si="98">SUM(C475:C478)</f>
        <v>1233</v>
      </c>
      <c r="D474" s="285">
        <f t="shared" si="91"/>
        <v>1692</v>
      </c>
      <c r="E474" s="285">
        <f t="shared" si="98"/>
        <v>0</v>
      </c>
      <c r="F474" s="285">
        <f t="shared" si="98"/>
        <v>0</v>
      </c>
      <c r="G474" s="285">
        <f t="shared" si="98"/>
        <v>0</v>
      </c>
      <c r="H474" s="285">
        <f t="shared" si="98"/>
        <v>0</v>
      </c>
      <c r="I474" s="285">
        <f t="shared" si="98"/>
        <v>1692</v>
      </c>
      <c r="J474" s="324">
        <f t="shared" si="96"/>
        <v>137.23</v>
      </c>
    </row>
    <row r="475" s="106" customFormat="1" ht="20.1" customHeight="1" spans="1:10">
      <c r="A475" s="279" t="s">
        <v>2151</v>
      </c>
      <c r="B475" s="41" t="s">
        <v>2125</v>
      </c>
      <c r="C475" s="287"/>
      <c r="D475" s="288">
        <f t="shared" si="91"/>
        <v>0</v>
      </c>
      <c r="E475" s="287"/>
      <c r="F475" s="287"/>
      <c r="G475" s="287"/>
      <c r="H475" s="287"/>
      <c r="I475" s="302"/>
      <c r="J475" s="303">
        <f t="shared" si="96"/>
        <v>0</v>
      </c>
    </row>
    <row r="476" s="106" customFormat="1" ht="20.1" customHeight="1" spans="1:10">
      <c r="A476" s="279" t="s">
        <v>2152</v>
      </c>
      <c r="B476" s="286" t="s">
        <v>2153</v>
      </c>
      <c r="C476" s="287"/>
      <c r="D476" s="288">
        <f t="shared" si="91"/>
        <v>0</v>
      </c>
      <c r="E476" s="287"/>
      <c r="F476" s="287"/>
      <c r="G476" s="287"/>
      <c r="H476" s="287"/>
      <c r="I476" s="302"/>
      <c r="J476" s="303">
        <f t="shared" si="96"/>
        <v>0</v>
      </c>
    </row>
    <row r="477" s="106" customFormat="1" ht="20.1" customHeight="1" spans="1:10">
      <c r="A477" s="279" t="s">
        <v>2154</v>
      </c>
      <c r="B477" s="286" t="s">
        <v>2155</v>
      </c>
      <c r="C477" s="287"/>
      <c r="D477" s="288">
        <f t="shared" si="91"/>
        <v>0</v>
      </c>
      <c r="E477" s="287"/>
      <c r="F477" s="287"/>
      <c r="G477" s="287"/>
      <c r="H477" s="287"/>
      <c r="I477" s="302"/>
      <c r="J477" s="303"/>
    </row>
    <row r="478" s="106" customFormat="1" ht="20.1" customHeight="1" spans="1:10">
      <c r="A478" s="279" t="s">
        <v>2156</v>
      </c>
      <c r="B478" s="289" t="s">
        <v>2157</v>
      </c>
      <c r="C478" s="287">
        <v>1233</v>
      </c>
      <c r="D478" s="288">
        <f t="shared" si="91"/>
        <v>1692</v>
      </c>
      <c r="E478" s="287"/>
      <c r="F478" s="287"/>
      <c r="G478" s="287"/>
      <c r="H478" s="287"/>
      <c r="I478" s="302">
        <v>1692</v>
      </c>
      <c r="J478" s="303">
        <f t="shared" ref="J478:J541" si="99">ROUND(IF(C478=0,IF(D478=0,0,1),IF(D478=0,-1,D478/C478)),4)*100</f>
        <v>137.23</v>
      </c>
    </row>
    <row r="479" s="107" customFormat="1" ht="20.1" customHeight="1" spans="1:10">
      <c r="A479" s="283" t="s">
        <v>610</v>
      </c>
      <c r="B479" s="323" t="s">
        <v>2158</v>
      </c>
      <c r="C479" s="285">
        <v>0</v>
      </c>
      <c r="D479" s="285">
        <f t="shared" si="91"/>
        <v>0</v>
      </c>
      <c r="E479" s="285">
        <f t="shared" ref="E479:H479" si="100">SUM(E480:E483)</f>
        <v>0</v>
      </c>
      <c r="F479" s="285">
        <f t="shared" si="100"/>
        <v>0</v>
      </c>
      <c r="G479" s="285">
        <f>VLOOKUP(A479,[1]√表四、2025年公共财政支出变动表!$A$8:$S$221,18,FALSE)</f>
        <v>0</v>
      </c>
      <c r="H479" s="285">
        <f t="shared" si="100"/>
        <v>0</v>
      </c>
      <c r="I479" s="285"/>
      <c r="J479" s="324">
        <f t="shared" si="99"/>
        <v>0</v>
      </c>
    </row>
    <row r="480" s="106" customFormat="1" ht="20.1" customHeight="1" spans="1:10">
      <c r="A480" s="279" t="s">
        <v>2159</v>
      </c>
      <c r="B480" s="289" t="s">
        <v>2125</v>
      </c>
      <c r="C480" s="287">
        <v>0</v>
      </c>
      <c r="D480" s="288">
        <f t="shared" si="91"/>
        <v>0</v>
      </c>
      <c r="E480" s="287"/>
      <c r="F480" s="287"/>
      <c r="G480" s="287"/>
      <c r="H480" s="287"/>
      <c r="I480" s="302"/>
      <c r="J480" s="303">
        <f t="shared" si="99"/>
        <v>0</v>
      </c>
    </row>
    <row r="481" s="106" customFormat="1" ht="20.1" customHeight="1" spans="1:10">
      <c r="A481" s="279" t="s">
        <v>2160</v>
      </c>
      <c r="B481" s="286" t="s">
        <v>2161</v>
      </c>
      <c r="C481" s="287">
        <v>0</v>
      </c>
      <c r="D481" s="288">
        <f t="shared" si="91"/>
        <v>0</v>
      </c>
      <c r="E481" s="287"/>
      <c r="F481" s="287"/>
      <c r="G481" s="287"/>
      <c r="H481" s="287"/>
      <c r="I481" s="302"/>
      <c r="J481" s="303">
        <f t="shared" si="99"/>
        <v>0</v>
      </c>
    </row>
    <row r="482" s="106" customFormat="1" ht="20.1" customHeight="1" spans="1:10">
      <c r="A482" s="279" t="s">
        <v>2162</v>
      </c>
      <c r="B482" s="286" t="s">
        <v>2163</v>
      </c>
      <c r="C482" s="287">
        <v>0</v>
      </c>
      <c r="D482" s="288">
        <f t="shared" si="91"/>
        <v>0</v>
      </c>
      <c r="E482" s="287"/>
      <c r="F482" s="287"/>
      <c r="G482" s="287"/>
      <c r="H482" s="287"/>
      <c r="I482" s="302"/>
      <c r="J482" s="303">
        <f t="shared" si="99"/>
        <v>0</v>
      </c>
    </row>
    <row r="483" s="106" customFormat="1" ht="20.1" customHeight="1" spans="1:10">
      <c r="A483" s="279" t="s">
        <v>2164</v>
      </c>
      <c r="B483" s="286" t="s">
        <v>2165</v>
      </c>
      <c r="C483" s="287">
        <v>0</v>
      </c>
      <c r="D483" s="288">
        <f t="shared" si="91"/>
        <v>0</v>
      </c>
      <c r="E483" s="287"/>
      <c r="F483" s="287"/>
      <c r="G483" s="287"/>
      <c r="H483" s="287"/>
      <c r="I483" s="302"/>
      <c r="J483" s="303">
        <f t="shared" si="99"/>
        <v>0</v>
      </c>
    </row>
    <row r="484" s="107" customFormat="1" ht="20.1" customHeight="1" spans="1:10">
      <c r="A484" s="283" t="s">
        <v>612</v>
      </c>
      <c r="B484" s="323" t="s">
        <v>2166</v>
      </c>
      <c r="C484" s="285">
        <f t="shared" ref="C484:F484" si="101">SUM(C485:C488)</f>
        <v>0</v>
      </c>
      <c r="D484" s="285">
        <f t="shared" si="91"/>
        <v>0</v>
      </c>
      <c r="E484" s="285">
        <f t="shared" si="101"/>
        <v>0</v>
      </c>
      <c r="F484" s="285">
        <f t="shared" si="101"/>
        <v>0</v>
      </c>
      <c r="G484" s="285">
        <f>VLOOKUP(A484,[1]√表四、2025年公共财政支出变动表!$A$8:$S$221,18,FALSE)</f>
        <v>0</v>
      </c>
      <c r="H484" s="285">
        <f>SUM(H485:H488)</f>
        <v>0</v>
      </c>
      <c r="I484" s="285"/>
      <c r="J484" s="324">
        <f t="shared" si="99"/>
        <v>0</v>
      </c>
    </row>
    <row r="485" s="106" customFormat="1" ht="20.1" customHeight="1" spans="1:10">
      <c r="A485" s="279" t="s">
        <v>2167</v>
      </c>
      <c r="B485" s="289" t="s">
        <v>2168</v>
      </c>
      <c r="C485" s="287"/>
      <c r="D485" s="288">
        <f t="shared" si="91"/>
        <v>0</v>
      </c>
      <c r="E485" s="287"/>
      <c r="F485" s="287"/>
      <c r="G485" s="287"/>
      <c r="H485" s="287"/>
      <c r="I485" s="302"/>
      <c r="J485" s="303">
        <f t="shared" si="99"/>
        <v>0</v>
      </c>
    </row>
    <row r="486" s="106" customFormat="1" ht="20.1" customHeight="1" spans="1:10">
      <c r="A486" s="279" t="s">
        <v>2169</v>
      </c>
      <c r="B486" s="289" t="s">
        <v>2170</v>
      </c>
      <c r="C486" s="287"/>
      <c r="D486" s="288">
        <f t="shared" si="91"/>
        <v>0</v>
      </c>
      <c r="E486" s="287"/>
      <c r="F486" s="287"/>
      <c r="G486" s="287"/>
      <c r="H486" s="287"/>
      <c r="I486" s="302"/>
      <c r="J486" s="303">
        <f t="shared" si="99"/>
        <v>0</v>
      </c>
    </row>
    <row r="487" s="106" customFormat="1" ht="20.1" customHeight="1" spans="1:10">
      <c r="A487" s="279" t="s">
        <v>2171</v>
      </c>
      <c r="B487" s="41" t="s">
        <v>2172</v>
      </c>
      <c r="C487" s="287">
        <v>0</v>
      </c>
      <c r="D487" s="288">
        <f t="shared" si="91"/>
        <v>0</v>
      </c>
      <c r="E487" s="287"/>
      <c r="F487" s="287"/>
      <c r="G487" s="287"/>
      <c r="H487" s="287"/>
      <c r="I487" s="302"/>
      <c r="J487" s="303">
        <f t="shared" si="99"/>
        <v>0</v>
      </c>
    </row>
    <row r="488" s="106" customFormat="1" ht="20.1" customHeight="1" spans="1:10">
      <c r="A488" s="279" t="s">
        <v>2173</v>
      </c>
      <c r="B488" s="286" t="s">
        <v>2174</v>
      </c>
      <c r="C488" s="287">
        <v>0</v>
      </c>
      <c r="D488" s="288">
        <f t="shared" si="91"/>
        <v>0</v>
      </c>
      <c r="E488" s="287"/>
      <c r="F488" s="287"/>
      <c r="G488" s="287"/>
      <c r="H488" s="287"/>
      <c r="I488" s="302"/>
      <c r="J488" s="303">
        <f t="shared" si="99"/>
        <v>0</v>
      </c>
    </row>
    <row r="489" s="107" customFormat="1" ht="20.1" customHeight="1" spans="1:10">
      <c r="A489" s="283" t="s">
        <v>614</v>
      </c>
      <c r="B489" s="323" t="s">
        <v>2175</v>
      </c>
      <c r="C489" s="285">
        <f t="shared" ref="C489:I489" si="102">SUM(C490:C495)</f>
        <v>159</v>
      </c>
      <c r="D489" s="285">
        <f t="shared" si="91"/>
        <v>126</v>
      </c>
      <c r="E489" s="285">
        <f t="shared" si="102"/>
        <v>25</v>
      </c>
      <c r="F489" s="285">
        <f t="shared" si="102"/>
        <v>0</v>
      </c>
      <c r="G489" s="285">
        <f t="shared" si="102"/>
        <v>25</v>
      </c>
      <c r="H489" s="285">
        <f t="shared" si="102"/>
        <v>0</v>
      </c>
      <c r="I489" s="285">
        <f t="shared" si="102"/>
        <v>76</v>
      </c>
      <c r="J489" s="324">
        <f t="shared" si="99"/>
        <v>79.25</v>
      </c>
    </row>
    <row r="490" s="106" customFormat="1" ht="20.1" customHeight="1" spans="1:10">
      <c r="A490" s="279" t="s">
        <v>2176</v>
      </c>
      <c r="B490" s="286" t="s">
        <v>2125</v>
      </c>
      <c r="C490" s="287">
        <v>78</v>
      </c>
      <c r="D490" s="288">
        <f t="shared" si="91"/>
        <v>66</v>
      </c>
      <c r="E490" s="287"/>
      <c r="F490" s="287"/>
      <c r="G490" s="287"/>
      <c r="H490" s="287"/>
      <c r="I490" s="302">
        <v>66</v>
      </c>
      <c r="J490" s="303">
        <f t="shared" si="99"/>
        <v>84.62</v>
      </c>
    </row>
    <row r="491" s="106" customFormat="1" ht="20.1" customHeight="1" spans="1:10">
      <c r="A491" s="279" t="s">
        <v>2177</v>
      </c>
      <c r="B491" s="289" t="s">
        <v>2178</v>
      </c>
      <c r="C491" s="287">
        <v>5</v>
      </c>
      <c r="D491" s="288">
        <f t="shared" si="91"/>
        <v>10</v>
      </c>
      <c r="E491" s="287"/>
      <c r="F491" s="287"/>
      <c r="G491" s="287"/>
      <c r="H491" s="287"/>
      <c r="I491" s="302">
        <v>10</v>
      </c>
      <c r="J491" s="303">
        <f t="shared" si="99"/>
        <v>200</v>
      </c>
    </row>
    <row r="492" s="106" customFormat="1" ht="20.1" customHeight="1" spans="1:10">
      <c r="A492" s="279" t="s">
        <v>2179</v>
      </c>
      <c r="B492" s="289" t="s">
        <v>2180</v>
      </c>
      <c r="C492" s="287"/>
      <c r="D492" s="288">
        <f t="shared" si="91"/>
        <v>0</v>
      </c>
      <c r="E492" s="287"/>
      <c r="F492" s="287"/>
      <c r="G492" s="287"/>
      <c r="H492" s="287"/>
      <c r="I492" s="302"/>
      <c r="J492" s="303">
        <f t="shared" si="99"/>
        <v>0</v>
      </c>
    </row>
    <row r="493" s="106" customFormat="1" ht="20.1" customHeight="1" spans="1:10">
      <c r="A493" s="279" t="s">
        <v>2181</v>
      </c>
      <c r="B493" s="289" t="s">
        <v>2182</v>
      </c>
      <c r="C493" s="287"/>
      <c r="D493" s="288">
        <f t="shared" si="91"/>
        <v>0</v>
      </c>
      <c r="E493" s="287"/>
      <c r="F493" s="287"/>
      <c r="G493" s="287"/>
      <c r="H493" s="287"/>
      <c r="I493" s="302"/>
      <c r="J493" s="303">
        <f t="shared" si="99"/>
        <v>0</v>
      </c>
    </row>
    <row r="494" s="106" customFormat="1" ht="20.1" customHeight="1" spans="1:10">
      <c r="A494" s="279" t="s">
        <v>2183</v>
      </c>
      <c r="B494" s="286" t="s">
        <v>2184</v>
      </c>
      <c r="C494" s="287">
        <v>12</v>
      </c>
      <c r="D494" s="288">
        <f t="shared" si="91"/>
        <v>50</v>
      </c>
      <c r="E494" s="287">
        <v>25</v>
      </c>
      <c r="F494" s="287"/>
      <c r="G494" s="287">
        <v>25</v>
      </c>
      <c r="H494" s="287"/>
      <c r="I494" s="302"/>
      <c r="J494" s="303">
        <f t="shared" si="99"/>
        <v>416.67</v>
      </c>
    </row>
    <row r="495" s="106" customFormat="1" ht="20.1" customHeight="1" spans="1:10">
      <c r="A495" s="279" t="s">
        <v>2185</v>
      </c>
      <c r="B495" s="286" t="s">
        <v>2186</v>
      </c>
      <c r="C495" s="287">
        <v>64</v>
      </c>
      <c r="D495" s="288">
        <f t="shared" si="91"/>
        <v>0</v>
      </c>
      <c r="E495" s="287"/>
      <c r="F495" s="287"/>
      <c r="G495" s="287"/>
      <c r="H495" s="287"/>
      <c r="I495" s="302"/>
      <c r="J495" s="303">
        <f t="shared" si="99"/>
        <v>-100</v>
      </c>
    </row>
    <row r="496" s="107" customFormat="1" ht="20.1" customHeight="1" spans="1:10">
      <c r="A496" s="283" t="s">
        <v>616</v>
      </c>
      <c r="B496" s="323" t="s">
        <v>2187</v>
      </c>
      <c r="C496" s="285">
        <v>0</v>
      </c>
      <c r="D496" s="285">
        <f t="shared" si="91"/>
        <v>0</v>
      </c>
      <c r="E496" s="285">
        <f t="shared" ref="E496:H496" si="103">SUM(E497:E499)</f>
        <v>0</v>
      </c>
      <c r="F496" s="285">
        <f t="shared" si="103"/>
        <v>0</v>
      </c>
      <c r="G496" s="285">
        <f>VLOOKUP(A496,[1]√表四、2025年公共财政支出变动表!$A$8:$S$221,18,FALSE)</f>
        <v>0</v>
      </c>
      <c r="H496" s="285">
        <f t="shared" si="103"/>
        <v>0</v>
      </c>
      <c r="I496" s="285"/>
      <c r="J496" s="324">
        <f t="shared" si="99"/>
        <v>0</v>
      </c>
    </row>
    <row r="497" s="106" customFormat="1" ht="20.1" customHeight="1" spans="1:10">
      <c r="A497" s="279" t="s">
        <v>2188</v>
      </c>
      <c r="B497" s="289" t="s">
        <v>2189</v>
      </c>
      <c r="C497" s="287">
        <v>0</v>
      </c>
      <c r="D497" s="288">
        <f t="shared" si="91"/>
        <v>0</v>
      </c>
      <c r="E497" s="287"/>
      <c r="F497" s="287"/>
      <c r="G497" s="287"/>
      <c r="H497" s="287"/>
      <c r="I497" s="302"/>
      <c r="J497" s="303">
        <f t="shared" si="99"/>
        <v>0</v>
      </c>
    </row>
    <row r="498" s="106" customFormat="1" ht="20.1" customHeight="1" spans="1:10">
      <c r="A498" s="279" t="s">
        <v>2190</v>
      </c>
      <c r="B498" s="289" t="s">
        <v>2191</v>
      </c>
      <c r="C498" s="287">
        <v>0</v>
      </c>
      <c r="D498" s="288">
        <f t="shared" si="91"/>
        <v>0</v>
      </c>
      <c r="E498" s="287"/>
      <c r="F498" s="287"/>
      <c r="G498" s="287"/>
      <c r="H498" s="287"/>
      <c r="I498" s="302"/>
      <c r="J498" s="303">
        <f t="shared" si="99"/>
        <v>0</v>
      </c>
    </row>
    <row r="499" s="106" customFormat="1" ht="20.1" customHeight="1" spans="1:10">
      <c r="A499" s="279" t="s">
        <v>2192</v>
      </c>
      <c r="B499" s="289" t="s">
        <v>2193</v>
      </c>
      <c r="C499" s="287">
        <v>0</v>
      </c>
      <c r="D499" s="288">
        <f t="shared" si="91"/>
        <v>0</v>
      </c>
      <c r="E499" s="287"/>
      <c r="F499" s="287"/>
      <c r="G499" s="287"/>
      <c r="H499" s="287"/>
      <c r="I499" s="302"/>
      <c r="J499" s="303">
        <f t="shared" si="99"/>
        <v>0</v>
      </c>
    </row>
    <row r="500" s="107" customFormat="1" ht="20.1" customHeight="1" spans="1:10">
      <c r="A500" s="283" t="s">
        <v>618</v>
      </c>
      <c r="B500" s="323" t="s">
        <v>2194</v>
      </c>
      <c r="C500" s="285">
        <f t="shared" ref="C500:I500" si="104">SUM(C501:C503)</f>
        <v>2</v>
      </c>
      <c r="D500" s="285">
        <f t="shared" si="91"/>
        <v>0</v>
      </c>
      <c r="E500" s="285">
        <f t="shared" si="104"/>
        <v>0</v>
      </c>
      <c r="F500" s="285">
        <f t="shared" si="104"/>
        <v>0</v>
      </c>
      <c r="G500" s="285">
        <f t="shared" si="104"/>
        <v>0</v>
      </c>
      <c r="H500" s="285">
        <f t="shared" si="104"/>
        <v>0</v>
      </c>
      <c r="I500" s="285">
        <f t="shared" si="104"/>
        <v>0</v>
      </c>
      <c r="J500" s="324">
        <f t="shared" si="99"/>
        <v>-100</v>
      </c>
    </row>
    <row r="501" s="106" customFormat="1" ht="20.1" customHeight="1" spans="1:10">
      <c r="A501" s="279" t="s">
        <v>2195</v>
      </c>
      <c r="B501" s="289" t="s">
        <v>2196</v>
      </c>
      <c r="C501" s="287">
        <v>2</v>
      </c>
      <c r="D501" s="288">
        <f t="shared" si="91"/>
        <v>0</v>
      </c>
      <c r="E501" s="287"/>
      <c r="F501" s="287"/>
      <c r="G501" s="287"/>
      <c r="H501" s="287"/>
      <c r="I501" s="302"/>
      <c r="J501" s="303">
        <f t="shared" si="99"/>
        <v>-100</v>
      </c>
    </row>
    <row r="502" s="106" customFormat="1" ht="20.1" customHeight="1" spans="1:10">
      <c r="A502" s="279" t="s">
        <v>2197</v>
      </c>
      <c r="B502" s="289" t="s">
        <v>2198</v>
      </c>
      <c r="C502" s="287">
        <v>0</v>
      </c>
      <c r="D502" s="288">
        <f t="shared" si="91"/>
        <v>0</v>
      </c>
      <c r="E502" s="287"/>
      <c r="F502" s="287"/>
      <c r="G502" s="287"/>
      <c r="H502" s="287"/>
      <c r="I502" s="302"/>
      <c r="J502" s="303">
        <f t="shared" si="99"/>
        <v>0</v>
      </c>
    </row>
    <row r="503" s="106" customFormat="1" ht="20.1" customHeight="1" spans="1:10">
      <c r="A503" s="279" t="s">
        <v>2199</v>
      </c>
      <c r="B503" s="289" t="s">
        <v>2200</v>
      </c>
      <c r="C503" s="287">
        <v>0</v>
      </c>
      <c r="D503" s="288">
        <f t="shared" si="91"/>
        <v>0</v>
      </c>
      <c r="E503" s="287"/>
      <c r="F503" s="287"/>
      <c r="G503" s="287"/>
      <c r="H503" s="287"/>
      <c r="I503" s="302"/>
      <c r="J503" s="303">
        <f t="shared" si="99"/>
        <v>0</v>
      </c>
    </row>
    <row r="504" s="107" customFormat="1" ht="20.1" customHeight="1" spans="1:10">
      <c r="A504" s="283" t="s">
        <v>620</v>
      </c>
      <c r="B504" s="323" t="s">
        <v>2201</v>
      </c>
      <c r="C504" s="285">
        <f t="shared" ref="C504:I504" si="105">SUM(C505:C508)</f>
        <v>1514</v>
      </c>
      <c r="D504" s="285">
        <f t="shared" si="105"/>
        <v>3</v>
      </c>
      <c r="E504" s="285">
        <f t="shared" si="105"/>
        <v>0</v>
      </c>
      <c r="F504" s="285">
        <f t="shared" si="105"/>
        <v>0</v>
      </c>
      <c r="G504" s="285">
        <f t="shared" si="105"/>
        <v>0</v>
      </c>
      <c r="H504" s="285">
        <f t="shared" si="105"/>
        <v>0</v>
      </c>
      <c r="I504" s="285">
        <f t="shared" si="105"/>
        <v>3</v>
      </c>
      <c r="J504" s="324">
        <f t="shared" si="99"/>
        <v>0.2</v>
      </c>
    </row>
    <row r="505" s="106" customFormat="1" ht="20.1" customHeight="1" spans="1:10">
      <c r="A505" s="279" t="s">
        <v>2202</v>
      </c>
      <c r="B505" s="286" t="s">
        <v>2203</v>
      </c>
      <c r="C505" s="287"/>
      <c r="D505" s="288">
        <f t="shared" ref="D505:D568" si="106">SUM(E505:I505)</f>
        <v>0</v>
      </c>
      <c r="E505" s="287"/>
      <c r="F505" s="287"/>
      <c r="G505" s="287"/>
      <c r="H505" s="287"/>
      <c r="I505" s="302"/>
      <c r="J505" s="303">
        <f t="shared" si="99"/>
        <v>0</v>
      </c>
    </row>
    <row r="506" s="106" customFormat="1" ht="20.1" customHeight="1" spans="1:10">
      <c r="A506" s="279" t="s">
        <v>2204</v>
      </c>
      <c r="B506" s="289" t="s">
        <v>2205</v>
      </c>
      <c r="C506" s="287"/>
      <c r="D506" s="288">
        <f t="shared" si="106"/>
        <v>0</v>
      </c>
      <c r="E506" s="287"/>
      <c r="F506" s="287"/>
      <c r="G506" s="287"/>
      <c r="H506" s="287"/>
      <c r="I506" s="302"/>
      <c r="J506" s="303">
        <f t="shared" si="99"/>
        <v>0</v>
      </c>
    </row>
    <row r="507" s="106" customFormat="1" ht="20.1" customHeight="1" spans="1:10">
      <c r="A507" s="279" t="s">
        <v>2206</v>
      </c>
      <c r="B507" s="289" t="s">
        <v>2207</v>
      </c>
      <c r="C507" s="287"/>
      <c r="D507" s="288">
        <f t="shared" si="106"/>
        <v>0</v>
      </c>
      <c r="E507" s="287"/>
      <c r="F507" s="287"/>
      <c r="G507" s="287"/>
      <c r="H507" s="287"/>
      <c r="I507" s="302"/>
      <c r="J507" s="303">
        <f t="shared" si="99"/>
        <v>0</v>
      </c>
    </row>
    <row r="508" s="106" customFormat="1" ht="20.1" customHeight="1" spans="1:10">
      <c r="A508" s="279" t="s">
        <v>2208</v>
      </c>
      <c r="B508" s="289" t="s">
        <v>2209</v>
      </c>
      <c r="C508" s="287">
        <v>1514</v>
      </c>
      <c r="D508" s="288">
        <f t="shared" si="106"/>
        <v>3</v>
      </c>
      <c r="E508" s="287"/>
      <c r="F508" s="287"/>
      <c r="G508" s="287"/>
      <c r="H508" s="287"/>
      <c r="I508" s="302">
        <v>3</v>
      </c>
      <c r="J508" s="303">
        <f t="shared" si="99"/>
        <v>0.2</v>
      </c>
    </row>
    <row r="509" s="107" customFormat="1" ht="20.1" customHeight="1" spans="1:10">
      <c r="A509" s="280" t="s">
        <v>622</v>
      </c>
      <c r="B509" s="281" t="s">
        <v>623</v>
      </c>
      <c r="C509" s="282">
        <f t="shared" ref="C509:I509" si="107">C510+C526+C534+C545+C554+C562</f>
        <v>5264</v>
      </c>
      <c r="D509" s="282">
        <f t="shared" si="106"/>
        <v>3042</v>
      </c>
      <c r="E509" s="282">
        <f t="shared" si="107"/>
        <v>706</v>
      </c>
      <c r="F509" s="282">
        <f t="shared" si="107"/>
        <v>70</v>
      </c>
      <c r="G509" s="282">
        <f t="shared" si="107"/>
        <v>811</v>
      </c>
      <c r="H509" s="282">
        <f t="shared" si="107"/>
        <v>0</v>
      </c>
      <c r="I509" s="282">
        <f t="shared" si="107"/>
        <v>1455</v>
      </c>
      <c r="J509" s="296">
        <f t="shared" si="99"/>
        <v>57.79</v>
      </c>
    </row>
    <row r="510" s="107" customFormat="1" ht="20.1" customHeight="1" spans="1:10">
      <c r="A510" s="283" t="s">
        <v>624</v>
      </c>
      <c r="B510" s="323" t="s">
        <v>2210</v>
      </c>
      <c r="C510" s="285">
        <f t="shared" ref="C510:I510" si="108">SUM(C511:C525)</f>
        <v>4590</v>
      </c>
      <c r="D510" s="285">
        <f t="shared" si="106"/>
        <v>1867</v>
      </c>
      <c r="E510" s="285">
        <f t="shared" si="108"/>
        <v>443</v>
      </c>
      <c r="F510" s="285">
        <f t="shared" si="108"/>
        <v>0</v>
      </c>
      <c r="G510" s="285">
        <f t="shared" si="108"/>
        <v>484</v>
      </c>
      <c r="H510" s="285">
        <f t="shared" si="108"/>
        <v>0</v>
      </c>
      <c r="I510" s="285">
        <f t="shared" si="108"/>
        <v>940</v>
      </c>
      <c r="J510" s="324">
        <f t="shared" si="99"/>
        <v>40.68</v>
      </c>
    </row>
    <row r="511" s="106" customFormat="1" ht="20.1" customHeight="1" spans="1:10">
      <c r="A511" s="279" t="s">
        <v>2211</v>
      </c>
      <c r="B511" s="41" t="s">
        <v>1458</v>
      </c>
      <c r="C511" s="287">
        <v>680</v>
      </c>
      <c r="D511" s="288">
        <f t="shared" si="106"/>
        <v>649</v>
      </c>
      <c r="E511" s="287"/>
      <c r="F511" s="287"/>
      <c r="G511" s="287"/>
      <c r="H511" s="287"/>
      <c r="I511" s="302">
        <v>649</v>
      </c>
      <c r="J511" s="303">
        <f t="shared" si="99"/>
        <v>95.44</v>
      </c>
    </row>
    <row r="512" s="106" customFormat="1" ht="20.1" customHeight="1" spans="1:10">
      <c r="A512" s="279" t="s">
        <v>2212</v>
      </c>
      <c r="B512" s="41" t="s">
        <v>1460</v>
      </c>
      <c r="C512" s="287"/>
      <c r="D512" s="288">
        <f t="shared" si="106"/>
        <v>0</v>
      </c>
      <c r="E512" s="287"/>
      <c r="F512" s="287"/>
      <c r="G512" s="287"/>
      <c r="H512" s="287"/>
      <c r="I512" s="302"/>
      <c r="J512" s="303">
        <f t="shared" si="99"/>
        <v>0</v>
      </c>
    </row>
    <row r="513" s="106" customFormat="1" ht="20.1" customHeight="1" spans="1:10">
      <c r="A513" s="279" t="s">
        <v>2213</v>
      </c>
      <c r="B513" s="41" t="s">
        <v>1462</v>
      </c>
      <c r="C513" s="287"/>
      <c r="D513" s="288">
        <f t="shared" si="106"/>
        <v>0</v>
      </c>
      <c r="E513" s="287"/>
      <c r="F513" s="287"/>
      <c r="G513" s="287"/>
      <c r="H513" s="287"/>
      <c r="I513" s="302"/>
      <c r="J513" s="303">
        <f t="shared" si="99"/>
        <v>0</v>
      </c>
    </row>
    <row r="514" s="106" customFormat="1" ht="20.1" customHeight="1" spans="1:10">
      <c r="A514" s="279" t="s">
        <v>2214</v>
      </c>
      <c r="B514" s="41" t="s">
        <v>2215</v>
      </c>
      <c r="C514" s="287">
        <v>21</v>
      </c>
      <c r="D514" s="288">
        <f t="shared" si="106"/>
        <v>23</v>
      </c>
      <c r="E514" s="287"/>
      <c r="F514" s="287"/>
      <c r="G514" s="287"/>
      <c r="H514" s="287"/>
      <c r="I514" s="302">
        <v>23</v>
      </c>
      <c r="J514" s="303">
        <f t="shared" si="99"/>
        <v>109.52</v>
      </c>
    </row>
    <row r="515" s="106" customFormat="1" ht="20.1" customHeight="1" spans="1:10">
      <c r="A515" s="279" t="s">
        <v>2216</v>
      </c>
      <c r="B515" s="41" t="s">
        <v>2217</v>
      </c>
      <c r="C515" s="287"/>
      <c r="D515" s="288">
        <f t="shared" si="106"/>
        <v>0</v>
      </c>
      <c r="E515" s="287"/>
      <c r="F515" s="287"/>
      <c r="G515" s="287"/>
      <c r="H515" s="287"/>
      <c r="I515" s="302"/>
      <c r="J515" s="303">
        <f t="shared" si="99"/>
        <v>0</v>
      </c>
    </row>
    <row r="516" s="106" customFormat="1" ht="20.1" customHeight="1" spans="1:10">
      <c r="A516" s="279" t="s">
        <v>2218</v>
      </c>
      <c r="B516" s="41" t="s">
        <v>2219</v>
      </c>
      <c r="C516" s="287"/>
      <c r="D516" s="288">
        <f t="shared" si="106"/>
        <v>0</v>
      </c>
      <c r="E516" s="287"/>
      <c r="F516" s="287"/>
      <c r="G516" s="287"/>
      <c r="H516" s="287"/>
      <c r="I516" s="302"/>
      <c r="J516" s="303">
        <f t="shared" si="99"/>
        <v>0</v>
      </c>
    </row>
    <row r="517" s="106" customFormat="1" ht="20.1" customHeight="1" spans="1:10">
      <c r="A517" s="279" t="s">
        <v>2220</v>
      </c>
      <c r="B517" s="41" t="s">
        <v>2221</v>
      </c>
      <c r="C517" s="287"/>
      <c r="D517" s="288">
        <f t="shared" si="106"/>
        <v>0</v>
      </c>
      <c r="E517" s="287"/>
      <c r="F517" s="287"/>
      <c r="G517" s="287"/>
      <c r="H517" s="287"/>
      <c r="I517" s="302"/>
      <c r="J517" s="303">
        <f t="shared" si="99"/>
        <v>0</v>
      </c>
    </row>
    <row r="518" s="106" customFormat="1" ht="20.1" customHeight="1" spans="1:10">
      <c r="A518" s="279" t="s">
        <v>2222</v>
      </c>
      <c r="B518" s="41" t="s">
        <v>2223</v>
      </c>
      <c r="C518" s="287"/>
      <c r="D518" s="288">
        <f t="shared" si="106"/>
        <v>0</v>
      </c>
      <c r="E518" s="287"/>
      <c r="F518" s="287"/>
      <c r="G518" s="287"/>
      <c r="H518" s="287"/>
      <c r="I518" s="302"/>
      <c r="J518" s="303">
        <f t="shared" si="99"/>
        <v>0</v>
      </c>
    </row>
    <row r="519" s="106" customFormat="1" ht="20.1" customHeight="1" spans="1:10">
      <c r="A519" s="279" t="s">
        <v>2224</v>
      </c>
      <c r="B519" s="41" t="s">
        <v>2225</v>
      </c>
      <c r="C519" s="287">
        <v>101</v>
      </c>
      <c r="D519" s="288">
        <f t="shared" si="106"/>
        <v>83</v>
      </c>
      <c r="E519" s="287"/>
      <c r="F519" s="287"/>
      <c r="G519" s="287"/>
      <c r="H519" s="287"/>
      <c r="I519" s="302">
        <v>83</v>
      </c>
      <c r="J519" s="303">
        <f t="shared" si="99"/>
        <v>82.18</v>
      </c>
    </row>
    <row r="520" s="106" customFormat="1" ht="20.1" customHeight="1" spans="1:10">
      <c r="A520" s="279" t="s">
        <v>2226</v>
      </c>
      <c r="B520" s="41" t="s">
        <v>2227</v>
      </c>
      <c r="C520" s="287"/>
      <c r="D520" s="288">
        <f t="shared" si="106"/>
        <v>0</v>
      </c>
      <c r="E520" s="287"/>
      <c r="F520" s="287"/>
      <c r="G520" s="287"/>
      <c r="H520" s="287"/>
      <c r="I520" s="302"/>
      <c r="J520" s="303">
        <f t="shared" si="99"/>
        <v>0</v>
      </c>
    </row>
    <row r="521" s="106" customFormat="1" ht="20.1" customHeight="1" spans="1:10">
      <c r="A521" s="279" t="s">
        <v>2228</v>
      </c>
      <c r="B521" s="41" t="s">
        <v>2229</v>
      </c>
      <c r="C521" s="287">
        <v>98</v>
      </c>
      <c r="D521" s="288">
        <f t="shared" si="106"/>
        <v>87</v>
      </c>
      <c r="E521" s="287"/>
      <c r="F521" s="287"/>
      <c r="G521" s="287">
        <v>87</v>
      </c>
      <c r="H521" s="287"/>
      <c r="I521" s="302"/>
      <c r="J521" s="303">
        <f t="shared" si="99"/>
        <v>88.78</v>
      </c>
    </row>
    <row r="522" s="106" customFormat="1" ht="20.1" customHeight="1" spans="1:10">
      <c r="A522" s="279" t="s">
        <v>2230</v>
      </c>
      <c r="B522" s="41" t="s">
        <v>2231</v>
      </c>
      <c r="C522" s="287"/>
      <c r="D522" s="288">
        <f t="shared" si="106"/>
        <v>0</v>
      </c>
      <c r="E522" s="287"/>
      <c r="F522" s="287"/>
      <c r="G522" s="287"/>
      <c r="H522" s="287"/>
      <c r="I522" s="302"/>
      <c r="J522" s="303">
        <f t="shared" si="99"/>
        <v>0</v>
      </c>
    </row>
    <row r="523" s="106" customFormat="1" ht="20.1" customHeight="1" spans="1:10">
      <c r="A523" s="279" t="s">
        <v>2232</v>
      </c>
      <c r="B523" s="41" t="s">
        <v>2233</v>
      </c>
      <c r="C523" s="287">
        <v>4</v>
      </c>
      <c r="D523" s="288">
        <f t="shared" si="106"/>
        <v>0</v>
      </c>
      <c r="E523" s="287"/>
      <c r="F523" s="287"/>
      <c r="G523" s="287"/>
      <c r="H523" s="287"/>
      <c r="I523" s="302"/>
      <c r="J523" s="303">
        <f t="shared" si="99"/>
        <v>-100</v>
      </c>
    </row>
    <row r="524" s="106" customFormat="1" ht="20.1" customHeight="1" spans="1:10">
      <c r="A524" s="279" t="s">
        <v>2234</v>
      </c>
      <c r="B524" s="41" t="s">
        <v>2235</v>
      </c>
      <c r="C524" s="287">
        <v>110</v>
      </c>
      <c r="D524" s="288">
        <f t="shared" si="106"/>
        <v>118</v>
      </c>
      <c r="E524" s="287"/>
      <c r="F524" s="287"/>
      <c r="G524" s="287"/>
      <c r="H524" s="287"/>
      <c r="I524" s="302">
        <v>118</v>
      </c>
      <c r="J524" s="303">
        <f t="shared" si="99"/>
        <v>107.27</v>
      </c>
    </row>
    <row r="525" s="106" customFormat="1" ht="20.1" customHeight="1" spans="1:10">
      <c r="A525" s="279" t="s">
        <v>2236</v>
      </c>
      <c r="B525" s="41" t="s">
        <v>2237</v>
      </c>
      <c r="C525" s="287">
        <v>3576</v>
      </c>
      <c r="D525" s="288">
        <f t="shared" si="106"/>
        <v>907</v>
      </c>
      <c r="E525" s="287">
        <v>443</v>
      </c>
      <c r="F525" s="287"/>
      <c r="G525" s="287">
        <v>397</v>
      </c>
      <c r="H525" s="287"/>
      <c r="I525" s="302">
        <v>67</v>
      </c>
      <c r="J525" s="303">
        <f t="shared" si="99"/>
        <v>25.36</v>
      </c>
    </row>
    <row r="526" s="107" customFormat="1" ht="20.1" customHeight="1" spans="1:10">
      <c r="A526" s="283" t="s">
        <v>626</v>
      </c>
      <c r="B526" s="323" t="s">
        <v>2238</v>
      </c>
      <c r="C526" s="285">
        <f t="shared" ref="C526:I526" si="109">SUM(C527:C533)</f>
        <v>197</v>
      </c>
      <c r="D526" s="285">
        <f t="shared" si="106"/>
        <v>248</v>
      </c>
      <c r="E526" s="285">
        <f t="shared" si="109"/>
        <v>0</v>
      </c>
      <c r="F526" s="285">
        <f t="shared" si="109"/>
        <v>20</v>
      </c>
      <c r="G526" s="285">
        <f t="shared" si="109"/>
        <v>194</v>
      </c>
      <c r="H526" s="285">
        <f t="shared" si="109"/>
        <v>0</v>
      </c>
      <c r="I526" s="285">
        <f t="shared" si="109"/>
        <v>34</v>
      </c>
      <c r="J526" s="324">
        <f t="shared" si="99"/>
        <v>125.89</v>
      </c>
    </row>
    <row r="527" s="106" customFormat="1" ht="20.1" customHeight="1" spans="1:10">
      <c r="A527" s="279" t="s">
        <v>2239</v>
      </c>
      <c r="B527" s="41" t="s">
        <v>1458</v>
      </c>
      <c r="C527" s="287"/>
      <c r="D527" s="288">
        <f t="shared" si="106"/>
        <v>0</v>
      </c>
      <c r="E527" s="287"/>
      <c r="F527" s="287"/>
      <c r="G527" s="287"/>
      <c r="H527" s="287"/>
      <c r="I527" s="302"/>
      <c r="J527" s="303">
        <f t="shared" si="99"/>
        <v>0</v>
      </c>
    </row>
    <row r="528" s="106" customFormat="1" ht="20.1" customHeight="1" spans="1:10">
      <c r="A528" s="279" t="s">
        <v>2240</v>
      </c>
      <c r="B528" s="41" t="s">
        <v>1460</v>
      </c>
      <c r="C528" s="287"/>
      <c r="D528" s="288">
        <f t="shared" si="106"/>
        <v>0</v>
      </c>
      <c r="E528" s="287"/>
      <c r="F528" s="287"/>
      <c r="G528" s="287"/>
      <c r="H528" s="287"/>
      <c r="I528" s="302"/>
      <c r="J528" s="303">
        <f t="shared" si="99"/>
        <v>0</v>
      </c>
    </row>
    <row r="529" s="106" customFormat="1" ht="20.1" customHeight="1" spans="1:10">
      <c r="A529" s="279" t="s">
        <v>2241</v>
      </c>
      <c r="B529" s="41" t="s">
        <v>1462</v>
      </c>
      <c r="C529" s="287"/>
      <c r="D529" s="288">
        <f t="shared" si="106"/>
        <v>0</v>
      </c>
      <c r="E529" s="287"/>
      <c r="F529" s="287"/>
      <c r="G529" s="287"/>
      <c r="H529" s="287"/>
      <c r="I529" s="302"/>
      <c r="J529" s="303">
        <f t="shared" si="99"/>
        <v>0</v>
      </c>
    </row>
    <row r="530" s="106" customFormat="1" ht="20.1" customHeight="1" spans="1:10">
      <c r="A530" s="279" t="s">
        <v>2242</v>
      </c>
      <c r="B530" s="41" t="s">
        <v>2243</v>
      </c>
      <c r="C530" s="287">
        <v>166</v>
      </c>
      <c r="D530" s="288">
        <f t="shared" si="106"/>
        <v>214</v>
      </c>
      <c r="E530" s="287"/>
      <c r="F530" s="287">
        <v>20</v>
      </c>
      <c r="G530" s="287">
        <v>194</v>
      </c>
      <c r="H530" s="287"/>
      <c r="I530" s="302"/>
      <c r="J530" s="303">
        <f t="shared" si="99"/>
        <v>128.92</v>
      </c>
    </row>
    <row r="531" s="106" customFormat="1" ht="20.1" customHeight="1" spans="1:10">
      <c r="A531" s="279" t="s">
        <v>2244</v>
      </c>
      <c r="B531" s="41" t="s">
        <v>2245</v>
      </c>
      <c r="C531" s="287">
        <v>31</v>
      </c>
      <c r="D531" s="288">
        <f t="shared" si="106"/>
        <v>34</v>
      </c>
      <c r="E531" s="287"/>
      <c r="F531" s="287"/>
      <c r="G531" s="287"/>
      <c r="H531" s="287"/>
      <c r="I531" s="302">
        <v>34</v>
      </c>
      <c r="J531" s="303">
        <f t="shared" si="99"/>
        <v>109.68</v>
      </c>
    </row>
    <row r="532" s="106" customFormat="1" ht="20.1" customHeight="1" spans="1:10">
      <c r="A532" s="279" t="s">
        <v>2246</v>
      </c>
      <c r="B532" s="41" t="s">
        <v>2247</v>
      </c>
      <c r="C532" s="287"/>
      <c r="D532" s="288">
        <f t="shared" si="106"/>
        <v>0</v>
      </c>
      <c r="E532" s="287"/>
      <c r="F532" s="287"/>
      <c r="G532" s="287"/>
      <c r="H532" s="287"/>
      <c r="I532" s="302"/>
      <c r="J532" s="303">
        <f t="shared" si="99"/>
        <v>0</v>
      </c>
    </row>
    <row r="533" s="106" customFormat="1" ht="20.1" customHeight="1" spans="1:10">
      <c r="A533" s="279" t="s">
        <v>2248</v>
      </c>
      <c r="B533" s="41" t="s">
        <v>2249</v>
      </c>
      <c r="C533" s="287"/>
      <c r="D533" s="288">
        <f t="shared" si="106"/>
        <v>0</v>
      </c>
      <c r="E533" s="287"/>
      <c r="F533" s="287"/>
      <c r="G533" s="287"/>
      <c r="H533" s="287"/>
      <c r="I533" s="302"/>
      <c r="J533" s="303">
        <f t="shared" si="99"/>
        <v>0</v>
      </c>
    </row>
    <row r="534" s="107" customFormat="1" ht="20.1" customHeight="1" spans="1:10">
      <c r="A534" s="283" t="s">
        <v>628</v>
      </c>
      <c r="B534" s="323" t="s">
        <v>2250</v>
      </c>
      <c r="C534" s="285">
        <f t="shared" ref="C534:I534" si="110">SUM(C535:C544)</f>
        <v>23</v>
      </c>
      <c r="D534" s="285">
        <f t="shared" si="106"/>
        <v>56</v>
      </c>
      <c r="E534" s="285">
        <f t="shared" si="110"/>
        <v>0</v>
      </c>
      <c r="F534" s="285">
        <f t="shared" si="110"/>
        <v>0</v>
      </c>
      <c r="G534" s="285">
        <f t="shared" si="110"/>
        <v>36</v>
      </c>
      <c r="H534" s="285">
        <f t="shared" si="110"/>
        <v>0</v>
      </c>
      <c r="I534" s="285">
        <f t="shared" si="110"/>
        <v>20</v>
      </c>
      <c r="J534" s="324">
        <f t="shared" si="99"/>
        <v>243.48</v>
      </c>
    </row>
    <row r="535" s="106" customFormat="1" ht="20.1" customHeight="1" spans="1:10">
      <c r="A535" s="279" t="s">
        <v>2251</v>
      </c>
      <c r="B535" s="41" t="s">
        <v>1458</v>
      </c>
      <c r="C535" s="287"/>
      <c r="D535" s="288">
        <f t="shared" si="106"/>
        <v>0</v>
      </c>
      <c r="E535" s="287"/>
      <c r="F535" s="287"/>
      <c r="G535" s="287"/>
      <c r="H535" s="287"/>
      <c r="I535" s="302"/>
      <c r="J535" s="303">
        <f t="shared" si="99"/>
        <v>0</v>
      </c>
    </row>
    <row r="536" s="106" customFormat="1" ht="20.1" customHeight="1" spans="1:10">
      <c r="A536" s="279" t="s">
        <v>2252</v>
      </c>
      <c r="B536" s="41" t="s">
        <v>1460</v>
      </c>
      <c r="C536" s="287"/>
      <c r="D536" s="288">
        <f t="shared" si="106"/>
        <v>0</v>
      </c>
      <c r="E536" s="287"/>
      <c r="F536" s="287"/>
      <c r="G536" s="287"/>
      <c r="H536" s="287"/>
      <c r="I536" s="302"/>
      <c r="J536" s="303">
        <f t="shared" si="99"/>
        <v>0</v>
      </c>
    </row>
    <row r="537" s="106" customFormat="1" ht="20.1" customHeight="1" spans="1:10">
      <c r="A537" s="279" t="s">
        <v>2253</v>
      </c>
      <c r="B537" s="41" t="s">
        <v>1462</v>
      </c>
      <c r="C537" s="287"/>
      <c r="D537" s="288">
        <f t="shared" si="106"/>
        <v>0</v>
      </c>
      <c r="E537" s="287"/>
      <c r="F537" s="287"/>
      <c r="G537" s="287"/>
      <c r="H537" s="287"/>
      <c r="I537" s="302"/>
      <c r="J537" s="303">
        <f t="shared" si="99"/>
        <v>0</v>
      </c>
    </row>
    <row r="538" s="106" customFormat="1" ht="20.1" customHeight="1" spans="1:10">
      <c r="A538" s="279" t="s">
        <v>2254</v>
      </c>
      <c r="B538" s="41" t="s">
        <v>2255</v>
      </c>
      <c r="C538" s="287"/>
      <c r="D538" s="288">
        <f t="shared" si="106"/>
        <v>0</v>
      </c>
      <c r="E538" s="287"/>
      <c r="F538" s="287"/>
      <c r="G538" s="287"/>
      <c r="H538" s="287"/>
      <c r="I538" s="302"/>
      <c r="J538" s="303">
        <f t="shared" si="99"/>
        <v>0</v>
      </c>
    </row>
    <row r="539" s="106" customFormat="1" ht="20.1" customHeight="1" spans="1:10">
      <c r="A539" s="279" t="s">
        <v>2256</v>
      </c>
      <c r="B539" s="41" t="s">
        <v>2257</v>
      </c>
      <c r="C539" s="287"/>
      <c r="D539" s="288">
        <f t="shared" si="106"/>
        <v>0</v>
      </c>
      <c r="E539" s="287"/>
      <c r="F539" s="287"/>
      <c r="G539" s="287"/>
      <c r="H539" s="287"/>
      <c r="I539" s="302"/>
      <c r="J539" s="303">
        <f t="shared" si="99"/>
        <v>0</v>
      </c>
    </row>
    <row r="540" s="106" customFormat="1" ht="20.1" customHeight="1" spans="1:10">
      <c r="A540" s="279" t="s">
        <v>2258</v>
      </c>
      <c r="B540" s="41" t="s">
        <v>2259</v>
      </c>
      <c r="C540" s="287"/>
      <c r="D540" s="288">
        <f t="shared" si="106"/>
        <v>0</v>
      </c>
      <c r="E540" s="287"/>
      <c r="F540" s="287"/>
      <c r="G540" s="287"/>
      <c r="H540" s="287"/>
      <c r="I540" s="302"/>
      <c r="J540" s="303">
        <f t="shared" si="99"/>
        <v>0</v>
      </c>
    </row>
    <row r="541" s="106" customFormat="1" ht="20.1" customHeight="1" spans="1:10">
      <c r="A541" s="279" t="s">
        <v>2260</v>
      </c>
      <c r="B541" s="41" t="s">
        <v>2261</v>
      </c>
      <c r="C541" s="287"/>
      <c r="D541" s="288">
        <f t="shared" si="106"/>
        <v>0</v>
      </c>
      <c r="E541" s="287"/>
      <c r="F541" s="287"/>
      <c r="G541" s="287"/>
      <c r="H541" s="287"/>
      <c r="I541" s="302"/>
      <c r="J541" s="303">
        <f t="shared" si="99"/>
        <v>0</v>
      </c>
    </row>
    <row r="542" s="106" customFormat="1" ht="20.1" customHeight="1" spans="1:10">
      <c r="A542" s="279" t="s">
        <v>2262</v>
      </c>
      <c r="B542" s="41" t="s">
        <v>2263</v>
      </c>
      <c r="C542" s="287">
        <v>23</v>
      </c>
      <c r="D542" s="288">
        <f t="shared" si="106"/>
        <v>20</v>
      </c>
      <c r="E542" s="287"/>
      <c r="F542" s="287"/>
      <c r="G542" s="287"/>
      <c r="H542" s="287"/>
      <c r="I542" s="302">
        <v>20</v>
      </c>
      <c r="J542" s="303">
        <f t="shared" ref="J542:J557" si="111">ROUND(IF(C542=0,IF(D542=0,0,1),IF(D542=0,-1,D542/C542)),4)*100</f>
        <v>86.96</v>
      </c>
    </row>
    <row r="543" s="106" customFormat="1" ht="20.1" customHeight="1" spans="1:10">
      <c r="A543" s="279" t="s">
        <v>2264</v>
      </c>
      <c r="B543" s="41" t="s">
        <v>2265</v>
      </c>
      <c r="C543" s="287"/>
      <c r="D543" s="288">
        <f t="shared" si="106"/>
        <v>0</v>
      </c>
      <c r="E543" s="287"/>
      <c r="F543" s="287"/>
      <c r="G543" s="287"/>
      <c r="H543" s="287"/>
      <c r="I543" s="302"/>
      <c r="J543" s="303">
        <f t="shared" si="111"/>
        <v>0</v>
      </c>
    </row>
    <row r="544" s="106" customFormat="1" ht="20.1" customHeight="1" spans="1:10">
      <c r="A544" s="279" t="s">
        <v>2266</v>
      </c>
      <c r="B544" s="41" t="s">
        <v>2267</v>
      </c>
      <c r="C544" s="287"/>
      <c r="D544" s="288">
        <f t="shared" si="106"/>
        <v>36</v>
      </c>
      <c r="E544" s="287"/>
      <c r="F544" s="287"/>
      <c r="G544" s="287">
        <v>36</v>
      </c>
      <c r="H544" s="287"/>
      <c r="I544" s="302"/>
      <c r="J544" s="303">
        <f t="shared" si="111"/>
        <v>100</v>
      </c>
    </row>
    <row r="545" s="107" customFormat="1" ht="20.1" customHeight="1" spans="1:10">
      <c r="A545" s="283" t="s">
        <v>630</v>
      </c>
      <c r="B545" s="323" t="s">
        <v>2268</v>
      </c>
      <c r="C545" s="285">
        <f t="shared" ref="C545:I545" si="112">SUM(C546:C553)</f>
        <v>64</v>
      </c>
      <c r="D545" s="285">
        <f t="shared" si="106"/>
        <v>0</v>
      </c>
      <c r="E545" s="285">
        <f t="shared" si="112"/>
        <v>0</v>
      </c>
      <c r="F545" s="285">
        <f t="shared" si="112"/>
        <v>0</v>
      </c>
      <c r="G545" s="285">
        <f t="shared" si="112"/>
        <v>0</v>
      </c>
      <c r="H545" s="285">
        <f t="shared" si="112"/>
        <v>0</v>
      </c>
      <c r="I545" s="285">
        <f t="shared" si="112"/>
        <v>0</v>
      </c>
      <c r="J545" s="324">
        <f t="shared" si="111"/>
        <v>-100</v>
      </c>
    </row>
    <row r="546" s="106" customFormat="1" ht="20.1" customHeight="1" spans="1:10">
      <c r="A546" s="279" t="s">
        <v>2269</v>
      </c>
      <c r="B546" s="41" t="s">
        <v>1458</v>
      </c>
      <c r="C546" s="287"/>
      <c r="D546" s="288">
        <f t="shared" si="106"/>
        <v>0</v>
      </c>
      <c r="E546" s="287"/>
      <c r="F546" s="287"/>
      <c r="G546" s="287"/>
      <c r="H546" s="287"/>
      <c r="I546" s="302"/>
      <c r="J546" s="303">
        <f t="shared" si="111"/>
        <v>0</v>
      </c>
    </row>
    <row r="547" s="106" customFormat="1" ht="20.1" customHeight="1" spans="1:10">
      <c r="A547" s="279" t="s">
        <v>2270</v>
      </c>
      <c r="B547" s="41" t="s">
        <v>1460</v>
      </c>
      <c r="C547" s="287"/>
      <c r="D547" s="288">
        <f t="shared" si="106"/>
        <v>0</v>
      </c>
      <c r="E547" s="287"/>
      <c r="F547" s="287"/>
      <c r="G547" s="287"/>
      <c r="H547" s="287"/>
      <c r="I547" s="302"/>
      <c r="J547" s="303">
        <f t="shared" si="111"/>
        <v>0</v>
      </c>
    </row>
    <row r="548" s="106" customFormat="1" ht="20.1" customHeight="1" spans="1:10">
      <c r="A548" s="279" t="s">
        <v>2271</v>
      </c>
      <c r="B548" s="41" t="s">
        <v>1462</v>
      </c>
      <c r="C548" s="287"/>
      <c r="D548" s="288">
        <f t="shared" si="106"/>
        <v>0</v>
      </c>
      <c r="E548" s="287"/>
      <c r="F548" s="287"/>
      <c r="G548" s="287"/>
      <c r="H548" s="287"/>
      <c r="I548" s="302"/>
      <c r="J548" s="303">
        <f t="shared" si="111"/>
        <v>0</v>
      </c>
    </row>
    <row r="549" s="106" customFormat="1" ht="20.1" customHeight="1" spans="1:10">
      <c r="A549" s="279" t="s">
        <v>2272</v>
      </c>
      <c r="B549" s="41" t="s">
        <v>2273</v>
      </c>
      <c r="C549" s="287"/>
      <c r="D549" s="288">
        <f t="shared" si="106"/>
        <v>0</v>
      </c>
      <c r="E549" s="287"/>
      <c r="F549" s="287"/>
      <c r="G549" s="287"/>
      <c r="H549" s="287"/>
      <c r="I549" s="302"/>
      <c r="J549" s="303">
        <f t="shared" si="111"/>
        <v>0</v>
      </c>
    </row>
    <row r="550" s="106" customFormat="1" ht="20.1" customHeight="1" spans="1:10">
      <c r="A550" s="279" t="s">
        <v>2274</v>
      </c>
      <c r="B550" s="41" t="s">
        <v>2275</v>
      </c>
      <c r="C550" s="287"/>
      <c r="D550" s="288">
        <f t="shared" si="106"/>
        <v>0</v>
      </c>
      <c r="E550" s="287"/>
      <c r="F550" s="287"/>
      <c r="G550" s="287"/>
      <c r="H550" s="287"/>
      <c r="I550" s="302"/>
      <c r="J550" s="303">
        <f t="shared" si="111"/>
        <v>0</v>
      </c>
    </row>
    <row r="551" s="106" customFormat="1" ht="20.1" customHeight="1" spans="1:10">
      <c r="A551" s="279" t="s">
        <v>2276</v>
      </c>
      <c r="B551" s="41" t="s">
        <v>2277</v>
      </c>
      <c r="C551" s="287"/>
      <c r="D551" s="288">
        <f t="shared" si="106"/>
        <v>0</v>
      </c>
      <c r="E551" s="287"/>
      <c r="F551" s="287"/>
      <c r="G551" s="287"/>
      <c r="H551" s="287"/>
      <c r="I551" s="302"/>
      <c r="J551" s="303">
        <f t="shared" si="111"/>
        <v>0</v>
      </c>
    </row>
    <row r="552" s="106" customFormat="1" ht="20.1" customHeight="1" spans="1:10">
      <c r="A552" s="279" t="s">
        <v>2278</v>
      </c>
      <c r="B552" s="41" t="s">
        <v>2279</v>
      </c>
      <c r="C552" s="287">
        <v>64</v>
      </c>
      <c r="D552" s="288">
        <f t="shared" si="106"/>
        <v>0</v>
      </c>
      <c r="E552" s="287"/>
      <c r="F552" s="287"/>
      <c r="G552" s="287"/>
      <c r="H552" s="287"/>
      <c r="I552" s="302"/>
      <c r="J552" s="303">
        <f t="shared" si="111"/>
        <v>-100</v>
      </c>
    </row>
    <row r="553" s="106" customFormat="1" ht="20.1" customHeight="1" spans="1:10">
      <c r="A553" s="279" t="s">
        <v>2280</v>
      </c>
      <c r="B553" s="41" t="s">
        <v>2281</v>
      </c>
      <c r="C553" s="287"/>
      <c r="D553" s="288">
        <f t="shared" si="106"/>
        <v>0</v>
      </c>
      <c r="E553" s="287"/>
      <c r="F553" s="287"/>
      <c r="G553" s="287"/>
      <c r="H553" s="287"/>
      <c r="I553" s="302"/>
      <c r="J553" s="303">
        <f t="shared" si="111"/>
        <v>0</v>
      </c>
    </row>
    <row r="554" s="107" customFormat="1" ht="20.1" customHeight="1" spans="1:10">
      <c r="A554" s="283" t="s">
        <v>632</v>
      </c>
      <c r="B554" s="323" t="s">
        <v>2282</v>
      </c>
      <c r="C554" s="285">
        <f t="shared" ref="C554:I554" si="113">SUM(C555:C561)</f>
        <v>384</v>
      </c>
      <c r="D554" s="285">
        <f t="shared" si="106"/>
        <v>570</v>
      </c>
      <c r="E554" s="285">
        <f t="shared" si="113"/>
        <v>46</v>
      </c>
      <c r="F554" s="285">
        <f t="shared" si="113"/>
        <v>0</v>
      </c>
      <c r="G554" s="285">
        <f t="shared" si="113"/>
        <v>63</v>
      </c>
      <c r="H554" s="285">
        <f t="shared" si="113"/>
        <v>0</v>
      </c>
      <c r="I554" s="285">
        <f t="shared" si="113"/>
        <v>461</v>
      </c>
      <c r="J554" s="324">
        <f t="shared" si="111"/>
        <v>148.44</v>
      </c>
    </row>
    <row r="555" s="106" customFormat="1" ht="20.1" customHeight="1" spans="1:10">
      <c r="A555" s="279" t="s">
        <v>2283</v>
      </c>
      <c r="B555" s="41" t="s">
        <v>1458</v>
      </c>
      <c r="C555" s="287"/>
      <c r="D555" s="288">
        <f t="shared" si="106"/>
        <v>0</v>
      </c>
      <c r="E555" s="287"/>
      <c r="F555" s="287"/>
      <c r="G555" s="287"/>
      <c r="H555" s="287"/>
      <c r="I555" s="302"/>
      <c r="J555" s="303">
        <f t="shared" si="111"/>
        <v>0</v>
      </c>
    </row>
    <row r="556" s="106" customFormat="1" ht="20.1" customHeight="1" spans="1:10">
      <c r="A556" s="279" t="s">
        <v>2284</v>
      </c>
      <c r="B556" s="41" t="s">
        <v>1460</v>
      </c>
      <c r="C556" s="287"/>
      <c r="D556" s="288">
        <f t="shared" si="106"/>
        <v>0</v>
      </c>
      <c r="E556" s="287"/>
      <c r="F556" s="287"/>
      <c r="G556" s="287"/>
      <c r="H556" s="287"/>
      <c r="I556" s="302"/>
      <c r="J556" s="303">
        <f t="shared" si="111"/>
        <v>0</v>
      </c>
    </row>
    <row r="557" s="106" customFormat="1" ht="20.1" customHeight="1" spans="1:10">
      <c r="A557" s="279" t="s">
        <v>2285</v>
      </c>
      <c r="B557" s="41" t="s">
        <v>1462</v>
      </c>
      <c r="C557" s="287"/>
      <c r="D557" s="288">
        <f t="shared" si="106"/>
        <v>0</v>
      </c>
      <c r="E557" s="287"/>
      <c r="F557" s="287"/>
      <c r="G557" s="287"/>
      <c r="H557" s="287"/>
      <c r="I557" s="302"/>
      <c r="J557" s="303">
        <f t="shared" si="111"/>
        <v>0</v>
      </c>
    </row>
    <row r="558" s="106" customFormat="1" ht="20.1" customHeight="1" spans="1:10">
      <c r="A558" s="325" t="s">
        <v>2286</v>
      </c>
      <c r="B558" s="326" t="s">
        <v>2287</v>
      </c>
      <c r="C558" s="287"/>
      <c r="D558" s="288">
        <f t="shared" si="106"/>
        <v>0</v>
      </c>
      <c r="E558" s="287"/>
      <c r="F558" s="287"/>
      <c r="G558" s="287"/>
      <c r="H558" s="287"/>
      <c r="I558" s="302"/>
      <c r="J558" s="303"/>
    </row>
    <row r="559" s="106" customFormat="1" ht="20.1" customHeight="1" spans="1:10">
      <c r="A559" s="327" t="s">
        <v>2288</v>
      </c>
      <c r="B559" s="328" t="s">
        <v>2289</v>
      </c>
      <c r="C559" s="287">
        <v>45</v>
      </c>
      <c r="D559" s="288">
        <f t="shared" si="106"/>
        <v>124</v>
      </c>
      <c r="E559" s="287">
        <v>46</v>
      </c>
      <c r="F559" s="287"/>
      <c r="G559" s="287">
        <v>55</v>
      </c>
      <c r="H559" s="287"/>
      <c r="I559" s="302">
        <v>23</v>
      </c>
      <c r="J559" s="303">
        <f t="shared" ref="J559:J578" si="114">ROUND(IF(C559=0,IF(D559=0,0,1),IF(D559=0,-1,D559/C559)),4)*100</f>
        <v>275.56</v>
      </c>
    </row>
    <row r="560" s="106" customFormat="1" ht="20.1" customHeight="1" spans="1:10">
      <c r="A560" s="327" t="s">
        <v>2290</v>
      </c>
      <c r="B560" s="328" t="s">
        <v>2291</v>
      </c>
      <c r="C560" s="287">
        <v>331</v>
      </c>
      <c r="D560" s="288">
        <f t="shared" si="106"/>
        <v>446</v>
      </c>
      <c r="E560" s="287"/>
      <c r="F560" s="287"/>
      <c r="G560" s="287">
        <v>8</v>
      </c>
      <c r="H560" s="287"/>
      <c r="I560" s="302">
        <v>438</v>
      </c>
      <c r="J560" s="303">
        <f t="shared" si="114"/>
        <v>134.74</v>
      </c>
    </row>
    <row r="561" s="106" customFormat="1" ht="20.1" customHeight="1" spans="1:10">
      <c r="A561" s="279" t="s">
        <v>2292</v>
      </c>
      <c r="B561" s="41" t="s">
        <v>2293</v>
      </c>
      <c r="C561" s="287">
        <v>8</v>
      </c>
      <c r="D561" s="288">
        <f t="shared" si="106"/>
        <v>0</v>
      </c>
      <c r="E561" s="287"/>
      <c r="F561" s="287"/>
      <c r="G561" s="287"/>
      <c r="H561" s="287"/>
      <c r="I561" s="302"/>
      <c r="J561" s="303">
        <f t="shared" si="114"/>
        <v>-100</v>
      </c>
    </row>
    <row r="562" s="107" customFormat="1" ht="20.1" customHeight="1" spans="1:10">
      <c r="A562" s="283" t="s">
        <v>634</v>
      </c>
      <c r="B562" s="323" t="s">
        <v>2294</v>
      </c>
      <c r="C562" s="285">
        <f t="shared" ref="C562:I562" si="115">SUM(C563:C564)</f>
        <v>6</v>
      </c>
      <c r="D562" s="285">
        <f t="shared" si="106"/>
        <v>301</v>
      </c>
      <c r="E562" s="285">
        <f t="shared" si="115"/>
        <v>217</v>
      </c>
      <c r="F562" s="285">
        <f t="shared" si="115"/>
        <v>50</v>
      </c>
      <c r="G562" s="285">
        <f t="shared" si="115"/>
        <v>34</v>
      </c>
      <c r="H562" s="285">
        <f t="shared" si="115"/>
        <v>0</v>
      </c>
      <c r="I562" s="285">
        <f t="shared" si="115"/>
        <v>0</v>
      </c>
      <c r="J562" s="324">
        <f t="shared" si="114"/>
        <v>5016.67</v>
      </c>
    </row>
    <row r="563" s="106" customFormat="1" ht="20.1" customHeight="1" spans="1:10">
      <c r="A563" s="279" t="s">
        <v>2295</v>
      </c>
      <c r="B563" s="41" t="s">
        <v>2296</v>
      </c>
      <c r="C563" s="287">
        <v>0</v>
      </c>
      <c r="D563" s="288">
        <f t="shared" si="106"/>
        <v>34</v>
      </c>
      <c r="E563" s="287"/>
      <c r="F563" s="287"/>
      <c r="G563" s="287">
        <v>34</v>
      </c>
      <c r="H563" s="287"/>
      <c r="I563" s="302"/>
      <c r="J563" s="303">
        <f t="shared" si="114"/>
        <v>100</v>
      </c>
    </row>
    <row r="564" s="106" customFormat="1" ht="20.1" customHeight="1" spans="1:10">
      <c r="A564" s="279" t="s">
        <v>2297</v>
      </c>
      <c r="B564" s="41" t="s">
        <v>2298</v>
      </c>
      <c r="C564" s="287">
        <v>6</v>
      </c>
      <c r="D564" s="288">
        <f t="shared" si="106"/>
        <v>267</v>
      </c>
      <c r="E564" s="287">
        <v>217</v>
      </c>
      <c r="F564" s="287">
        <v>50</v>
      </c>
      <c r="G564" s="287"/>
      <c r="H564" s="287"/>
      <c r="I564" s="302"/>
      <c r="J564" s="303">
        <f t="shared" si="114"/>
        <v>4450</v>
      </c>
    </row>
    <row r="565" s="107" customFormat="1" ht="20.1" customHeight="1" spans="1:10">
      <c r="A565" s="280" t="s">
        <v>636</v>
      </c>
      <c r="B565" s="281" t="s">
        <v>637</v>
      </c>
      <c r="C565" s="282">
        <f t="shared" ref="C565:I565" si="116">C566+C585+C593+C595+C604+C608+C618+C627+C634+C642+C651+C657+C660+C663+C666+C669+C672+C676+C680+C689+C692</f>
        <v>70163</v>
      </c>
      <c r="D565" s="282">
        <f t="shared" si="106"/>
        <v>73581</v>
      </c>
      <c r="E565" s="282">
        <f t="shared" si="116"/>
        <v>31908</v>
      </c>
      <c r="F565" s="282">
        <f t="shared" si="116"/>
        <v>39</v>
      </c>
      <c r="G565" s="282">
        <f t="shared" si="116"/>
        <v>827</v>
      </c>
      <c r="H565" s="282">
        <f t="shared" si="116"/>
        <v>11277</v>
      </c>
      <c r="I565" s="282">
        <f t="shared" si="116"/>
        <v>29530</v>
      </c>
      <c r="J565" s="296">
        <f t="shared" si="114"/>
        <v>104.87</v>
      </c>
    </row>
    <row r="566" s="107" customFormat="1" ht="20.1" customHeight="1" spans="1:10">
      <c r="A566" s="283" t="s">
        <v>638</v>
      </c>
      <c r="B566" s="323" t="s">
        <v>2299</v>
      </c>
      <c r="C566" s="285">
        <f t="shared" ref="C566:I566" si="117">SUM(C567:C584)</f>
        <v>1300</v>
      </c>
      <c r="D566" s="285">
        <f t="shared" si="106"/>
        <v>4231</v>
      </c>
      <c r="E566" s="285">
        <f t="shared" si="117"/>
        <v>0</v>
      </c>
      <c r="F566" s="285">
        <f t="shared" si="117"/>
        <v>38</v>
      </c>
      <c r="G566" s="285">
        <f t="shared" si="117"/>
        <v>82</v>
      </c>
      <c r="H566" s="285">
        <f t="shared" si="117"/>
        <v>0</v>
      </c>
      <c r="I566" s="285">
        <f t="shared" si="117"/>
        <v>4111</v>
      </c>
      <c r="J566" s="324">
        <f t="shared" si="114"/>
        <v>325.46</v>
      </c>
    </row>
    <row r="567" s="106" customFormat="1" ht="20.1" customHeight="1" spans="1:10">
      <c r="A567" s="279" t="s">
        <v>2300</v>
      </c>
      <c r="B567" s="41" t="s">
        <v>1458</v>
      </c>
      <c r="C567" s="287">
        <v>376</v>
      </c>
      <c r="D567" s="288">
        <f t="shared" si="106"/>
        <v>349</v>
      </c>
      <c r="E567" s="287"/>
      <c r="F567" s="287"/>
      <c r="G567" s="287"/>
      <c r="H567" s="287"/>
      <c r="I567" s="302">
        <v>349</v>
      </c>
      <c r="J567" s="303">
        <f t="shared" si="114"/>
        <v>92.82</v>
      </c>
    </row>
    <row r="568" s="106" customFormat="1" ht="20.1" customHeight="1" spans="1:10">
      <c r="A568" s="279" t="s">
        <v>2301</v>
      </c>
      <c r="B568" s="41" t="s">
        <v>1460</v>
      </c>
      <c r="C568" s="287"/>
      <c r="D568" s="288">
        <f t="shared" si="106"/>
        <v>0</v>
      </c>
      <c r="E568" s="287"/>
      <c r="F568" s="287"/>
      <c r="G568" s="287"/>
      <c r="H568" s="287"/>
      <c r="I568" s="302"/>
      <c r="J568" s="303">
        <f t="shared" si="114"/>
        <v>0</v>
      </c>
    </row>
    <row r="569" s="106" customFormat="1" ht="20.1" customHeight="1" spans="1:10">
      <c r="A569" s="279" t="s">
        <v>2302</v>
      </c>
      <c r="B569" s="41" t="s">
        <v>1462</v>
      </c>
      <c r="C569" s="287"/>
      <c r="D569" s="288">
        <f t="shared" ref="D569:D632" si="118">SUM(E569:I569)</f>
        <v>0</v>
      </c>
      <c r="E569" s="287"/>
      <c r="F569" s="287"/>
      <c r="G569" s="287"/>
      <c r="H569" s="287"/>
      <c r="I569" s="302"/>
      <c r="J569" s="303">
        <f t="shared" si="114"/>
        <v>0</v>
      </c>
    </row>
    <row r="570" s="106" customFormat="1" ht="20.1" customHeight="1" spans="1:10">
      <c r="A570" s="279" t="s">
        <v>2303</v>
      </c>
      <c r="B570" s="41" t="s">
        <v>2304</v>
      </c>
      <c r="C570" s="287">
        <v>3</v>
      </c>
      <c r="D570" s="288">
        <f t="shared" si="118"/>
        <v>16</v>
      </c>
      <c r="E570" s="287"/>
      <c r="F570" s="287"/>
      <c r="G570" s="287"/>
      <c r="H570" s="287"/>
      <c r="I570" s="302">
        <v>16</v>
      </c>
      <c r="J570" s="303">
        <f t="shared" si="114"/>
        <v>533.33</v>
      </c>
    </row>
    <row r="571" s="106" customFormat="1" ht="20.1" customHeight="1" spans="1:10">
      <c r="A571" s="279" t="s">
        <v>2305</v>
      </c>
      <c r="B571" s="41" t="s">
        <v>2306</v>
      </c>
      <c r="C571" s="287"/>
      <c r="D571" s="288">
        <f t="shared" si="118"/>
        <v>0</v>
      </c>
      <c r="E571" s="287"/>
      <c r="F571" s="287"/>
      <c r="G571" s="287"/>
      <c r="H571" s="287"/>
      <c r="I571" s="302"/>
      <c r="J571" s="303">
        <f t="shared" si="114"/>
        <v>0</v>
      </c>
    </row>
    <row r="572" s="106" customFormat="1" ht="20.1" customHeight="1" spans="1:10">
      <c r="A572" s="279" t="s">
        <v>2307</v>
      </c>
      <c r="B572" s="41" t="s">
        <v>2308</v>
      </c>
      <c r="C572" s="287"/>
      <c r="D572" s="288">
        <f t="shared" si="118"/>
        <v>0</v>
      </c>
      <c r="E572" s="287"/>
      <c r="F572" s="287"/>
      <c r="G572" s="287"/>
      <c r="H572" s="287"/>
      <c r="I572" s="302"/>
      <c r="J572" s="303">
        <f t="shared" si="114"/>
        <v>0</v>
      </c>
    </row>
    <row r="573" s="106" customFormat="1" ht="20.1" customHeight="1" spans="1:10">
      <c r="A573" s="279" t="s">
        <v>2309</v>
      </c>
      <c r="B573" s="41" t="s">
        <v>2310</v>
      </c>
      <c r="C573" s="287"/>
      <c r="D573" s="288">
        <f t="shared" si="118"/>
        <v>0</v>
      </c>
      <c r="E573" s="287"/>
      <c r="F573" s="287"/>
      <c r="G573" s="287"/>
      <c r="H573" s="287"/>
      <c r="I573" s="302"/>
      <c r="J573" s="303">
        <f t="shared" si="114"/>
        <v>0</v>
      </c>
    </row>
    <row r="574" s="106" customFormat="1" ht="20.1" customHeight="1" spans="1:10">
      <c r="A574" s="279" t="s">
        <v>2311</v>
      </c>
      <c r="B574" s="41" t="s">
        <v>1553</v>
      </c>
      <c r="C574" s="287"/>
      <c r="D574" s="288">
        <f t="shared" si="118"/>
        <v>0</v>
      </c>
      <c r="E574" s="287"/>
      <c r="F574" s="287"/>
      <c r="G574" s="287"/>
      <c r="H574" s="287"/>
      <c r="I574" s="302"/>
      <c r="J574" s="303">
        <f t="shared" si="114"/>
        <v>0</v>
      </c>
    </row>
    <row r="575" s="106" customFormat="1" ht="20.1" customHeight="1" spans="1:10">
      <c r="A575" s="279" t="s">
        <v>2312</v>
      </c>
      <c r="B575" s="41" t="s">
        <v>2313</v>
      </c>
      <c r="C575" s="287">
        <v>505</v>
      </c>
      <c r="D575" s="288">
        <f t="shared" si="118"/>
        <v>431</v>
      </c>
      <c r="E575" s="287"/>
      <c r="F575" s="287"/>
      <c r="G575" s="287"/>
      <c r="H575" s="287"/>
      <c r="I575" s="302">
        <v>431</v>
      </c>
      <c r="J575" s="303">
        <f t="shared" si="114"/>
        <v>85.35</v>
      </c>
    </row>
    <row r="576" s="106" customFormat="1" ht="20.1" customHeight="1" spans="1:10">
      <c r="A576" s="279" t="s">
        <v>2314</v>
      </c>
      <c r="B576" s="41" t="s">
        <v>2315</v>
      </c>
      <c r="C576" s="287"/>
      <c r="D576" s="288">
        <f t="shared" si="118"/>
        <v>0</v>
      </c>
      <c r="E576" s="287"/>
      <c r="F576" s="287"/>
      <c r="G576" s="287"/>
      <c r="H576" s="287"/>
      <c r="I576" s="302"/>
      <c r="J576" s="303">
        <f t="shared" si="114"/>
        <v>0</v>
      </c>
    </row>
    <row r="577" s="106" customFormat="1" ht="20.1" customHeight="1" spans="1:10">
      <c r="A577" s="279" t="s">
        <v>2316</v>
      </c>
      <c r="B577" s="41" t="s">
        <v>2317</v>
      </c>
      <c r="C577" s="287"/>
      <c r="D577" s="288">
        <f t="shared" si="118"/>
        <v>0</v>
      </c>
      <c r="E577" s="287"/>
      <c r="F577" s="287"/>
      <c r="G577" s="287"/>
      <c r="H577" s="287"/>
      <c r="I577" s="302"/>
      <c r="J577" s="303">
        <f t="shared" si="114"/>
        <v>0</v>
      </c>
    </row>
    <row r="578" s="106" customFormat="1" ht="20.1" customHeight="1" spans="1:10">
      <c r="A578" s="279" t="s">
        <v>2318</v>
      </c>
      <c r="B578" s="41" t="s">
        <v>2319</v>
      </c>
      <c r="C578" s="287">
        <v>2</v>
      </c>
      <c r="D578" s="288">
        <f t="shared" si="118"/>
        <v>3</v>
      </c>
      <c r="E578" s="287"/>
      <c r="F578" s="287"/>
      <c r="G578" s="287"/>
      <c r="H578" s="287"/>
      <c r="I578" s="302">
        <v>3</v>
      </c>
      <c r="J578" s="303">
        <f t="shared" si="114"/>
        <v>150</v>
      </c>
    </row>
    <row r="579" s="106" customFormat="1" ht="20.1" customHeight="1" spans="1:10">
      <c r="A579" s="279" t="s">
        <v>2320</v>
      </c>
      <c r="B579" s="41" t="s">
        <v>2321</v>
      </c>
      <c r="C579" s="287"/>
      <c r="D579" s="288">
        <f t="shared" si="118"/>
        <v>0</v>
      </c>
      <c r="E579" s="287"/>
      <c r="F579" s="287"/>
      <c r="G579" s="287"/>
      <c r="H579" s="287"/>
      <c r="I579" s="302"/>
      <c r="J579" s="303"/>
    </row>
    <row r="580" s="106" customFormat="1" ht="20.1" customHeight="1" spans="1:10">
      <c r="A580" s="279" t="s">
        <v>2322</v>
      </c>
      <c r="B580" s="41" t="s">
        <v>2323</v>
      </c>
      <c r="C580" s="287"/>
      <c r="D580" s="288">
        <f t="shared" si="118"/>
        <v>0</v>
      </c>
      <c r="E580" s="287"/>
      <c r="F580" s="287"/>
      <c r="G580" s="287"/>
      <c r="H580" s="287"/>
      <c r="I580" s="302"/>
      <c r="J580" s="303"/>
    </row>
    <row r="581" s="106" customFormat="1" ht="20.1" customHeight="1" spans="1:10">
      <c r="A581" s="279" t="s">
        <v>2324</v>
      </c>
      <c r="B581" s="41" t="s">
        <v>2325</v>
      </c>
      <c r="C581" s="287"/>
      <c r="D581" s="288">
        <f t="shared" si="118"/>
        <v>0</v>
      </c>
      <c r="E581" s="287"/>
      <c r="F581" s="287"/>
      <c r="G581" s="287"/>
      <c r="H581" s="287"/>
      <c r="I581" s="302"/>
      <c r="J581" s="303"/>
    </row>
    <row r="582" s="106" customFormat="1" ht="20.1" customHeight="1" spans="1:10">
      <c r="A582" s="279" t="s">
        <v>2326</v>
      </c>
      <c r="B582" s="41" t="s">
        <v>2327</v>
      </c>
      <c r="C582" s="287"/>
      <c r="D582" s="288">
        <f t="shared" si="118"/>
        <v>0</v>
      </c>
      <c r="E582" s="287"/>
      <c r="F582" s="287"/>
      <c r="G582" s="287"/>
      <c r="H582" s="287"/>
      <c r="I582" s="302"/>
      <c r="J582" s="303"/>
    </row>
    <row r="583" s="106" customFormat="1" ht="20.1" customHeight="1" spans="1:10">
      <c r="A583" s="279" t="s">
        <v>2328</v>
      </c>
      <c r="B583" s="41" t="s">
        <v>1476</v>
      </c>
      <c r="C583" s="287">
        <v>6</v>
      </c>
      <c r="D583" s="288">
        <f t="shared" si="118"/>
        <v>24</v>
      </c>
      <c r="E583" s="287"/>
      <c r="F583" s="287"/>
      <c r="G583" s="287"/>
      <c r="H583" s="287"/>
      <c r="I583" s="302">
        <v>24</v>
      </c>
      <c r="J583" s="303"/>
    </row>
    <row r="584" s="106" customFormat="1" ht="20.1" customHeight="1" spans="1:10">
      <c r="A584" s="279" t="s">
        <v>2329</v>
      </c>
      <c r="B584" s="41" t="s">
        <v>2330</v>
      </c>
      <c r="C584" s="287">
        <v>408</v>
      </c>
      <c r="D584" s="288">
        <f t="shared" si="118"/>
        <v>3408</v>
      </c>
      <c r="E584" s="287"/>
      <c r="F584" s="287">
        <v>38</v>
      </c>
      <c r="G584" s="287">
        <v>82</v>
      </c>
      <c r="H584" s="287"/>
      <c r="I584" s="302">
        <v>3288</v>
      </c>
      <c r="J584" s="303">
        <f t="shared" ref="J584:J590" si="119">ROUND(IF(C584=0,IF(D584=0,0,1),IF(D584=0,-1,D584/C584)),4)*100</f>
        <v>835.29</v>
      </c>
    </row>
    <row r="585" s="107" customFormat="1" ht="20.1" customHeight="1" spans="1:10">
      <c r="A585" s="283" t="s">
        <v>640</v>
      </c>
      <c r="B585" s="323" t="s">
        <v>2331</v>
      </c>
      <c r="C585" s="285">
        <f t="shared" ref="C585:I585" si="120">SUM(C586:C592)</f>
        <v>811</v>
      </c>
      <c r="D585" s="285">
        <f t="shared" si="118"/>
        <v>327</v>
      </c>
      <c r="E585" s="285">
        <f t="shared" si="120"/>
        <v>0</v>
      </c>
      <c r="F585" s="285">
        <f t="shared" si="120"/>
        <v>0</v>
      </c>
      <c r="G585" s="285">
        <f t="shared" si="120"/>
        <v>20</v>
      </c>
      <c r="H585" s="285">
        <f t="shared" si="120"/>
        <v>0</v>
      </c>
      <c r="I585" s="285">
        <f t="shared" si="120"/>
        <v>307</v>
      </c>
      <c r="J585" s="324">
        <f t="shared" si="119"/>
        <v>40.32</v>
      </c>
    </row>
    <row r="586" s="106" customFormat="1" ht="20.1" customHeight="1" spans="1:10">
      <c r="A586" s="279" t="s">
        <v>2332</v>
      </c>
      <c r="B586" s="41" t="s">
        <v>1458</v>
      </c>
      <c r="C586" s="287">
        <v>313</v>
      </c>
      <c r="D586" s="288">
        <f t="shared" si="118"/>
        <v>218</v>
      </c>
      <c r="E586" s="287"/>
      <c r="F586" s="287"/>
      <c r="G586" s="287"/>
      <c r="H586" s="287"/>
      <c r="I586" s="302">
        <v>218</v>
      </c>
      <c r="J586" s="303">
        <f t="shared" si="119"/>
        <v>69.65</v>
      </c>
    </row>
    <row r="587" s="106" customFormat="1" ht="20.1" customHeight="1" spans="1:10">
      <c r="A587" s="279" t="s">
        <v>2333</v>
      </c>
      <c r="B587" s="41" t="s">
        <v>1460</v>
      </c>
      <c r="C587" s="287"/>
      <c r="D587" s="288">
        <f t="shared" si="118"/>
        <v>0</v>
      </c>
      <c r="E587" s="287"/>
      <c r="F587" s="287"/>
      <c r="G587" s="287"/>
      <c r="H587" s="287"/>
      <c r="I587" s="302"/>
      <c r="J587" s="303">
        <f t="shared" si="119"/>
        <v>0</v>
      </c>
    </row>
    <row r="588" s="106" customFormat="1" ht="20.1" customHeight="1" spans="1:10">
      <c r="A588" s="279" t="s">
        <v>2334</v>
      </c>
      <c r="B588" s="41" t="s">
        <v>1462</v>
      </c>
      <c r="C588" s="287"/>
      <c r="D588" s="288">
        <f t="shared" si="118"/>
        <v>0</v>
      </c>
      <c r="E588" s="287"/>
      <c r="F588" s="287"/>
      <c r="G588" s="287"/>
      <c r="H588" s="287"/>
      <c r="I588" s="302"/>
      <c r="J588" s="303">
        <f t="shared" si="119"/>
        <v>0</v>
      </c>
    </row>
    <row r="589" s="106" customFormat="1" ht="20.1" customHeight="1" spans="1:10">
      <c r="A589" s="279" t="s">
        <v>2335</v>
      </c>
      <c r="B589" s="41" t="s">
        <v>2336</v>
      </c>
      <c r="C589" s="287">
        <v>2</v>
      </c>
      <c r="D589" s="288">
        <f t="shared" si="118"/>
        <v>0</v>
      </c>
      <c r="E589" s="287"/>
      <c r="F589" s="287"/>
      <c r="G589" s="287"/>
      <c r="H589" s="287"/>
      <c r="I589" s="302"/>
      <c r="J589" s="303">
        <f t="shared" si="119"/>
        <v>-100</v>
      </c>
    </row>
    <row r="590" s="106" customFormat="1" ht="20.1" customHeight="1" spans="1:10">
      <c r="A590" s="279" t="s">
        <v>2337</v>
      </c>
      <c r="B590" s="41" t="s">
        <v>2338</v>
      </c>
      <c r="C590" s="287">
        <v>3</v>
      </c>
      <c r="D590" s="288">
        <f t="shared" si="118"/>
        <v>0</v>
      </c>
      <c r="E590" s="287"/>
      <c r="F590" s="287"/>
      <c r="G590" s="287"/>
      <c r="H590" s="287"/>
      <c r="I590" s="302"/>
      <c r="J590" s="303">
        <f t="shared" si="119"/>
        <v>-100</v>
      </c>
    </row>
    <row r="591" s="106" customFormat="1" ht="20.1" customHeight="1" spans="1:11">
      <c r="A591" s="279" t="s">
        <v>2339</v>
      </c>
      <c r="B591" s="41" t="s">
        <v>2340</v>
      </c>
      <c r="C591" s="287"/>
      <c r="D591" s="288">
        <f t="shared" si="118"/>
        <v>0</v>
      </c>
      <c r="E591" s="287"/>
      <c r="F591" s="287"/>
      <c r="G591" s="287"/>
      <c r="H591" s="287"/>
      <c r="I591" s="302"/>
      <c r="J591" s="303"/>
      <c r="K591" s="321" t="s">
        <v>1785</v>
      </c>
    </row>
    <row r="592" s="106" customFormat="1" ht="20.1" customHeight="1" spans="1:10">
      <c r="A592" s="279" t="s">
        <v>2341</v>
      </c>
      <c r="B592" s="41" t="s">
        <v>2342</v>
      </c>
      <c r="C592" s="287">
        <v>493</v>
      </c>
      <c r="D592" s="288">
        <f t="shared" si="118"/>
        <v>109</v>
      </c>
      <c r="E592" s="287"/>
      <c r="F592" s="287"/>
      <c r="G592" s="287">
        <v>20</v>
      </c>
      <c r="H592" s="287"/>
      <c r="I592" s="302">
        <v>89</v>
      </c>
      <c r="J592" s="303">
        <f t="shared" ref="J592:J601" si="121">ROUND(IF(C592=0,IF(D592=0,0,1),IF(D592=0,-1,D592/C592)),4)*100</f>
        <v>22.11</v>
      </c>
    </row>
    <row r="593" s="106" customFormat="1" ht="20.1" customHeight="1" spans="1:10">
      <c r="A593" s="283" t="s">
        <v>642</v>
      </c>
      <c r="B593" s="323" t="s">
        <v>2343</v>
      </c>
      <c r="C593" s="285">
        <f>SUM(C594)</f>
        <v>0</v>
      </c>
      <c r="D593" s="285">
        <f t="shared" si="118"/>
        <v>0</v>
      </c>
      <c r="E593" s="285">
        <f t="shared" ref="E593:H593" si="122">SUM(E594:E594)</f>
        <v>0</v>
      </c>
      <c r="F593" s="285">
        <f t="shared" si="122"/>
        <v>0</v>
      </c>
      <c r="G593" s="285">
        <f>VLOOKUP(A593,[1]√表四、2025年公共财政支出变动表!$A$8:$S$221,18,FALSE)</f>
        <v>0</v>
      </c>
      <c r="H593" s="285">
        <f t="shared" si="122"/>
        <v>0</v>
      </c>
      <c r="I593" s="285"/>
      <c r="J593" s="324">
        <f t="shared" si="121"/>
        <v>0</v>
      </c>
    </row>
    <row r="594" s="107" customFormat="1" ht="20.1" customHeight="1" spans="1:10">
      <c r="A594" s="279" t="s">
        <v>2344</v>
      </c>
      <c r="B594" s="41" t="s">
        <v>2345</v>
      </c>
      <c r="C594" s="287"/>
      <c r="D594" s="288">
        <f t="shared" si="118"/>
        <v>0</v>
      </c>
      <c r="E594" s="287"/>
      <c r="F594" s="287"/>
      <c r="G594" s="287"/>
      <c r="H594" s="287"/>
      <c r="I594" s="302"/>
      <c r="J594" s="303">
        <f t="shared" si="121"/>
        <v>0</v>
      </c>
    </row>
    <row r="595" s="106" customFormat="1" ht="20.1" customHeight="1" spans="1:10">
      <c r="A595" s="283" t="s">
        <v>644</v>
      </c>
      <c r="B595" s="323" t="s">
        <v>2346</v>
      </c>
      <c r="C595" s="285">
        <f t="shared" ref="C595:I595" si="123">SUM(C596:C603)</f>
        <v>27985</v>
      </c>
      <c r="D595" s="285">
        <f t="shared" si="118"/>
        <v>33484</v>
      </c>
      <c r="E595" s="285">
        <f t="shared" si="123"/>
        <v>2633</v>
      </c>
      <c r="F595" s="285">
        <f t="shared" si="123"/>
        <v>0</v>
      </c>
      <c r="G595" s="285">
        <f t="shared" si="123"/>
        <v>0</v>
      </c>
      <c r="H595" s="285">
        <f t="shared" si="123"/>
        <v>9006</v>
      </c>
      <c r="I595" s="285">
        <f t="shared" si="123"/>
        <v>21845</v>
      </c>
      <c r="J595" s="324">
        <f t="shared" si="121"/>
        <v>119.65</v>
      </c>
    </row>
    <row r="596" s="107" customFormat="1" ht="20.1" customHeight="1" spans="1:10">
      <c r="A596" s="279" t="s">
        <v>2347</v>
      </c>
      <c r="B596" s="41" t="s">
        <v>2348</v>
      </c>
      <c r="C596" s="287">
        <v>617</v>
      </c>
      <c r="D596" s="288">
        <f t="shared" si="118"/>
        <v>1856</v>
      </c>
      <c r="E596" s="287"/>
      <c r="F596" s="287"/>
      <c r="G596" s="287"/>
      <c r="H596" s="287"/>
      <c r="I596" s="302">
        <v>1856</v>
      </c>
      <c r="J596" s="303">
        <f t="shared" si="121"/>
        <v>300.81</v>
      </c>
    </row>
    <row r="597" s="106" customFormat="1" ht="20.1" customHeight="1" spans="1:10">
      <c r="A597" s="279" t="s">
        <v>2349</v>
      </c>
      <c r="B597" s="41" t="s">
        <v>2350</v>
      </c>
      <c r="C597" s="287">
        <v>1233</v>
      </c>
      <c r="D597" s="288">
        <f t="shared" si="118"/>
        <v>3971</v>
      </c>
      <c r="E597" s="287"/>
      <c r="F597" s="287"/>
      <c r="G597" s="287"/>
      <c r="H597" s="287"/>
      <c r="I597" s="302">
        <v>3971</v>
      </c>
      <c r="J597" s="303">
        <f t="shared" si="121"/>
        <v>322.06</v>
      </c>
    </row>
    <row r="598" s="106" customFormat="1" ht="20.1" customHeight="1" spans="1:10">
      <c r="A598" s="279" t="s">
        <v>2351</v>
      </c>
      <c r="B598" s="41" t="s">
        <v>2352</v>
      </c>
      <c r="C598" s="287"/>
      <c r="D598" s="288">
        <f t="shared" si="118"/>
        <v>0</v>
      </c>
      <c r="E598" s="287"/>
      <c r="F598" s="287"/>
      <c r="G598" s="287"/>
      <c r="H598" s="287"/>
      <c r="I598" s="302"/>
      <c r="J598" s="303">
        <f t="shared" si="121"/>
        <v>0</v>
      </c>
    </row>
    <row r="599" s="106" customFormat="1" ht="20.1" customHeight="1" spans="1:10">
      <c r="A599" s="279" t="s">
        <v>2353</v>
      </c>
      <c r="B599" s="41" t="s">
        <v>2354</v>
      </c>
      <c r="C599" s="287">
        <v>11196</v>
      </c>
      <c r="D599" s="288">
        <f t="shared" si="118"/>
        <v>12567</v>
      </c>
      <c r="E599" s="287"/>
      <c r="F599" s="287"/>
      <c r="G599" s="287"/>
      <c r="H599" s="287"/>
      <c r="I599" s="302">
        <v>12567</v>
      </c>
      <c r="J599" s="303">
        <f t="shared" si="121"/>
        <v>112.25</v>
      </c>
    </row>
    <row r="600" s="106" customFormat="1" ht="20.1" customHeight="1" spans="1:10">
      <c r="A600" s="279" t="s">
        <v>2355</v>
      </c>
      <c r="B600" s="41" t="s">
        <v>2356</v>
      </c>
      <c r="C600" s="287">
        <v>6273</v>
      </c>
      <c r="D600" s="288">
        <f t="shared" si="118"/>
        <v>3451</v>
      </c>
      <c r="E600" s="287"/>
      <c r="F600" s="287"/>
      <c r="G600" s="287"/>
      <c r="H600" s="287"/>
      <c r="I600" s="302">
        <v>3451</v>
      </c>
      <c r="J600" s="303">
        <f t="shared" si="121"/>
        <v>55.01</v>
      </c>
    </row>
    <row r="601" s="106" customFormat="1" ht="20.1" customHeight="1" spans="1:10">
      <c r="A601" s="279" t="s">
        <v>2357</v>
      </c>
      <c r="B601" s="41" t="s">
        <v>2358</v>
      </c>
      <c r="C601" s="287">
        <v>8666</v>
      </c>
      <c r="D601" s="288">
        <f t="shared" si="118"/>
        <v>11639</v>
      </c>
      <c r="E601" s="287">
        <v>2633</v>
      </c>
      <c r="F601" s="287"/>
      <c r="G601" s="287"/>
      <c r="H601" s="287">
        <v>9006</v>
      </c>
      <c r="I601" s="302"/>
      <c r="J601" s="303">
        <f t="shared" si="121"/>
        <v>134.31</v>
      </c>
    </row>
    <row r="602" s="106" customFormat="1" ht="20.1" customHeight="1" spans="1:10">
      <c r="A602" s="279" t="s">
        <v>2359</v>
      </c>
      <c r="B602" s="41" t="s">
        <v>2360</v>
      </c>
      <c r="C602" s="287"/>
      <c r="D602" s="288">
        <f t="shared" si="118"/>
        <v>0</v>
      </c>
      <c r="E602" s="287"/>
      <c r="F602" s="287"/>
      <c r="G602" s="287"/>
      <c r="H602" s="287"/>
      <c r="I602" s="302"/>
      <c r="J602" s="303"/>
    </row>
    <row r="603" s="106" customFormat="1" ht="20.1" customHeight="1" spans="1:10">
      <c r="A603" s="279" t="s">
        <v>2361</v>
      </c>
      <c r="B603" s="41" t="s">
        <v>2362</v>
      </c>
      <c r="C603" s="287"/>
      <c r="D603" s="288">
        <f t="shared" si="118"/>
        <v>0</v>
      </c>
      <c r="E603" s="287"/>
      <c r="F603" s="287"/>
      <c r="G603" s="287"/>
      <c r="H603" s="287"/>
      <c r="I603" s="302"/>
      <c r="J603" s="303">
        <f t="shared" ref="J603:J623" si="124">ROUND(IF(C603=0,IF(D603=0,0,1),IF(D603=0,-1,D603/C603)),4)*100</f>
        <v>0</v>
      </c>
    </row>
    <row r="604" s="106" customFormat="1" ht="20.1" customHeight="1" spans="1:10">
      <c r="A604" s="283" t="s">
        <v>646</v>
      </c>
      <c r="B604" s="323" t="s">
        <v>2363</v>
      </c>
      <c r="C604" s="285">
        <v>0</v>
      </c>
      <c r="D604" s="285">
        <f t="shared" si="118"/>
        <v>0</v>
      </c>
      <c r="E604" s="285">
        <f t="shared" ref="E604:H604" si="125">SUM(E605:E607)</f>
        <v>0</v>
      </c>
      <c r="F604" s="285">
        <f t="shared" si="125"/>
        <v>0</v>
      </c>
      <c r="G604" s="285">
        <f>VLOOKUP(A604,[1]√表四、2025年公共财政支出变动表!$A$8:$S$221,18,FALSE)</f>
        <v>0</v>
      </c>
      <c r="H604" s="285">
        <f t="shared" si="125"/>
        <v>0</v>
      </c>
      <c r="I604" s="285"/>
      <c r="J604" s="324">
        <f t="shared" si="124"/>
        <v>0</v>
      </c>
    </row>
    <row r="605" s="107" customFormat="1" ht="20.1" customHeight="1" spans="1:10">
      <c r="A605" s="279" t="s">
        <v>2364</v>
      </c>
      <c r="B605" s="41" t="s">
        <v>2365</v>
      </c>
      <c r="C605" s="287">
        <v>0</v>
      </c>
      <c r="D605" s="288">
        <f t="shared" si="118"/>
        <v>0</v>
      </c>
      <c r="E605" s="287"/>
      <c r="F605" s="287"/>
      <c r="G605" s="287"/>
      <c r="H605" s="287"/>
      <c r="I605" s="302"/>
      <c r="J605" s="303">
        <f t="shared" si="124"/>
        <v>0</v>
      </c>
    </row>
    <row r="606" s="106" customFormat="1" ht="20.1" customHeight="1" spans="1:10">
      <c r="A606" s="279" t="s">
        <v>2366</v>
      </c>
      <c r="B606" s="41" t="s">
        <v>2367</v>
      </c>
      <c r="C606" s="287">
        <v>0</v>
      </c>
      <c r="D606" s="288">
        <f t="shared" si="118"/>
        <v>0</v>
      </c>
      <c r="E606" s="287"/>
      <c r="F606" s="287"/>
      <c r="G606" s="287"/>
      <c r="H606" s="287"/>
      <c r="I606" s="302"/>
      <c r="J606" s="303">
        <f t="shared" si="124"/>
        <v>0</v>
      </c>
    </row>
    <row r="607" s="106" customFormat="1" ht="20.1" customHeight="1" spans="1:10">
      <c r="A607" s="279" t="s">
        <v>2368</v>
      </c>
      <c r="B607" s="41" t="s">
        <v>2369</v>
      </c>
      <c r="C607" s="287">
        <v>0</v>
      </c>
      <c r="D607" s="288">
        <f t="shared" si="118"/>
        <v>0</v>
      </c>
      <c r="E607" s="287"/>
      <c r="F607" s="287"/>
      <c r="G607" s="287"/>
      <c r="H607" s="287"/>
      <c r="I607" s="302"/>
      <c r="J607" s="303">
        <f t="shared" si="124"/>
        <v>0</v>
      </c>
    </row>
    <row r="608" s="106" customFormat="1" ht="20.1" customHeight="1" spans="1:10">
      <c r="A608" s="283" t="s">
        <v>648</v>
      </c>
      <c r="B608" s="323" t="s">
        <v>2370</v>
      </c>
      <c r="C608" s="285">
        <f t="shared" ref="C608:I608" si="126">SUM(C609:C617)</f>
        <v>2720</v>
      </c>
      <c r="D608" s="285">
        <f t="shared" si="118"/>
        <v>1970</v>
      </c>
      <c r="E608" s="285">
        <f t="shared" si="126"/>
        <v>1832</v>
      </c>
      <c r="F608" s="285">
        <f t="shared" si="126"/>
        <v>0</v>
      </c>
      <c r="G608" s="285">
        <f t="shared" si="126"/>
        <v>138</v>
      </c>
      <c r="H608" s="285">
        <f t="shared" si="126"/>
        <v>0</v>
      </c>
      <c r="I608" s="285">
        <f t="shared" si="126"/>
        <v>0</v>
      </c>
      <c r="J608" s="324">
        <f t="shared" si="124"/>
        <v>72.43</v>
      </c>
    </row>
    <row r="609" s="107" customFormat="1" ht="20.1" customHeight="1" spans="1:10">
      <c r="A609" s="279" t="s">
        <v>2371</v>
      </c>
      <c r="B609" s="41" t="s">
        <v>2372</v>
      </c>
      <c r="C609" s="287"/>
      <c r="D609" s="288">
        <f t="shared" si="118"/>
        <v>0</v>
      </c>
      <c r="E609" s="287"/>
      <c r="F609" s="287"/>
      <c r="G609" s="287"/>
      <c r="H609" s="287"/>
      <c r="I609" s="302"/>
      <c r="J609" s="303">
        <f t="shared" si="124"/>
        <v>0</v>
      </c>
    </row>
    <row r="610" s="106" customFormat="1" ht="20.1" customHeight="1" spans="1:10">
      <c r="A610" s="279" t="s">
        <v>2373</v>
      </c>
      <c r="B610" s="41" t="s">
        <v>2374</v>
      </c>
      <c r="C610" s="287">
        <v>479</v>
      </c>
      <c r="D610" s="288">
        <f t="shared" si="118"/>
        <v>0</v>
      </c>
      <c r="E610" s="287"/>
      <c r="F610" s="287"/>
      <c r="G610" s="287"/>
      <c r="H610" s="287"/>
      <c r="I610" s="302"/>
      <c r="J610" s="303">
        <f t="shared" si="124"/>
        <v>-100</v>
      </c>
    </row>
    <row r="611" s="106" customFormat="1" ht="20.1" customHeight="1" spans="1:10">
      <c r="A611" s="279" t="s">
        <v>2375</v>
      </c>
      <c r="B611" s="41" t="s">
        <v>2376</v>
      </c>
      <c r="C611" s="287">
        <v>288</v>
      </c>
      <c r="D611" s="288">
        <f t="shared" si="118"/>
        <v>290</v>
      </c>
      <c r="E611" s="287">
        <v>204</v>
      </c>
      <c r="F611" s="287"/>
      <c r="G611" s="287">
        <v>86</v>
      </c>
      <c r="H611" s="287"/>
      <c r="I611" s="302"/>
      <c r="J611" s="303">
        <f t="shared" si="124"/>
        <v>100.69</v>
      </c>
    </row>
    <row r="612" s="106" customFormat="1" ht="20.1" customHeight="1" spans="1:10">
      <c r="A612" s="279" t="s">
        <v>2377</v>
      </c>
      <c r="B612" s="41" t="s">
        <v>2378</v>
      </c>
      <c r="C612" s="287">
        <v>1202</v>
      </c>
      <c r="D612" s="288">
        <f t="shared" si="118"/>
        <v>0</v>
      </c>
      <c r="E612" s="287"/>
      <c r="F612" s="287"/>
      <c r="G612" s="287"/>
      <c r="H612" s="287"/>
      <c r="I612" s="302"/>
      <c r="J612" s="303">
        <f t="shared" si="124"/>
        <v>-100</v>
      </c>
    </row>
    <row r="613" s="106" customFormat="1" ht="20.1" customHeight="1" spans="1:10">
      <c r="A613" s="279" t="s">
        <v>2379</v>
      </c>
      <c r="B613" s="41" t="s">
        <v>2380</v>
      </c>
      <c r="C613" s="287"/>
      <c r="D613" s="288">
        <f t="shared" si="118"/>
        <v>0</v>
      </c>
      <c r="E613" s="287"/>
      <c r="F613" s="287"/>
      <c r="G613" s="287"/>
      <c r="H613" s="287"/>
      <c r="I613" s="302"/>
      <c r="J613" s="303">
        <f t="shared" si="124"/>
        <v>0</v>
      </c>
    </row>
    <row r="614" s="106" customFormat="1" ht="20.1" customHeight="1" spans="1:10">
      <c r="A614" s="279" t="s">
        <v>2381</v>
      </c>
      <c r="B614" s="41" t="s">
        <v>2382</v>
      </c>
      <c r="C614" s="287"/>
      <c r="D614" s="288">
        <f t="shared" si="118"/>
        <v>0</v>
      </c>
      <c r="E614" s="287"/>
      <c r="F614" s="287"/>
      <c r="G614" s="287"/>
      <c r="H614" s="287"/>
      <c r="I614" s="302"/>
      <c r="J614" s="303">
        <f t="shared" si="124"/>
        <v>0</v>
      </c>
    </row>
    <row r="615" s="106" customFormat="1" ht="20.1" customHeight="1" spans="1:10">
      <c r="A615" s="279" t="s">
        <v>2383</v>
      </c>
      <c r="B615" s="41" t="s">
        <v>2384</v>
      </c>
      <c r="C615" s="287"/>
      <c r="D615" s="288">
        <f t="shared" si="118"/>
        <v>0</v>
      </c>
      <c r="E615" s="287"/>
      <c r="F615" s="287"/>
      <c r="G615" s="287"/>
      <c r="H615" s="287"/>
      <c r="I615" s="302"/>
      <c r="J615" s="303">
        <f t="shared" si="124"/>
        <v>0</v>
      </c>
    </row>
    <row r="616" s="106" customFormat="1" ht="20.1" customHeight="1" spans="1:10">
      <c r="A616" s="279" t="s">
        <v>2385</v>
      </c>
      <c r="B616" s="41" t="s">
        <v>2386</v>
      </c>
      <c r="C616" s="287"/>
      <c r="D616" s="288">
        <f t="shared" si="118"/>
        <v>0</v>
      </c>
      <c r="E616" s="287"/>
      <c r="F616" s="287"/>
      <c r="G616" s="287"/>
      <c r="H616" s="287"/>
      <c r="I616" s="302"/>
      <c r="J616" s="303">
        <f t="shared" si="124"/>
        <v>0</v>
      </c>
    </row>
    <row r="617" s="106" customFormat="1" ht="20.1" customHeight="1" spans="1:10">
      <c r="A617" s="279" t="s">
        <v>2387</v>
      </c>
      <c r="B617" s="41" t="s">
        <v>2388</v>
      </c>
      <c r="C617" s="287">
        <v>751</v>
      </c>
      <c r="D617" s="288">
        <f t="shared" si="118"/>
        <v>1680</v>
      </c>
      <c r="E617" s="287">
        <v>1628</v>
      </c>
      <c r="F617" s="287"/>
      <c r="G617" s="287">
        <v>52</v>
      </c>
      <c r="H617" s="287"/>
      <c r="I617" s="302"/>
      <c r="J617" s="303">
        <f t="shared" si="124"/>
        <v>223.7</v>
      </c>
    </row>
    <row r="618" s="106" customFormat="1" ht="20.1" customHeight="1" spans="1:10">
      <c r="A618" s="283" t="s">
        <v>650</v>
      </c>
      <c r="B618" s="323" t="s">
        <v>2389</v>
      </c>
      <c r="C618" s="285">
        <f t="shared" ref="C618:I618" si="127">SUM(C619:C626)</f>
        <v>2283</v>
      </c>
      <c r="D618" s="285">
        <f t="shared" si="118"/>
        <v>3161</v>
      </c>
      <c r="E618" s="285">
        <f t="shared" si="127"/>
        <v>1769</v>
      </c>
      <c r="F618" s="285">
        <f t="shared" si="127"/>
        <v>0</v>
      </c>
      <c r="G618" s="285">
        <f t="shared" si="127"/>
        <v>68</v>
      </c>
      <c r="H618" s="285">
        <f t="shared" si="127"/>
        <v>1000</v>
      </c>
      <c r="I618" s="285">
        <f t="shared" si="127"/>
        <v>324</v>
      </c>
      <c r="J618" s="324">
        <f t="shared" si="124"/>
        <v>138.46</v>
      </c>
    </row>
    <row r="619" s="107" customFormat="1" ht="20.1" customHeight="1" spans="1:10">
      <c r="A619" s="279" t="s">
        <v>2390</v>
      </c>
      <c r="B619" s="41" t="s">
        <v>2391</v>
      </c>
      <c r="C619" s="287">
        <v>256</v>
      </c>
      <c r="D619" s="288">
        <f t="shared" si="118"/>
        <v>1001</v>
      </c>
      <c r="E619" s="287"/>
      <c r="F619" s="287"/>
      <c r="G619" s="287">
        <v>1</v>
      </c>
      <c r="H619" s="287">
        <v>1000</v>
      </c>
      <c r="I619" s="302"/>
      <c r="J619" s="303">
        <f t="shared" si="124"/>
        <v>391.02</v>
      </c>
    </row>
    <row r="620" s="106" customFormat="1" ht="20.1" customHeight="1" spans="1:10">
      <c r="A620" s="279" t="s">
        <v>2392</v>
      </c>
      <c r="B620" s="41" t="s">
        <v>2393</v>
      </c>
      <c r="C620" s="287">
        <v>204</v>
      </c>
      <c r="D620" s="288">
        <f t="shared" si="118"/>
        <v>27</v>
      </c>
      <c r="E620" s="287"/>
      <c r="F620" s="287"/>
      <c r="G620" s="287">
        <v>23</v>
      </c>
      <c r="H620" s="287"/>
      <c r="I620" s="302">
        <v>4</v>
      </c>
      <c r="J620" s="303">
        <f t="shared" si="124"/>
        <v>13.24</v>
      </c>
    </row>
    <row r="621" s="106" customFormat="1" ht="20.1" customHeight="1" spans="1:10">
      <c r="A621" s="279" t="s">
        <v>2394</v>
      </c>
      <c r="B621" s="41" t="s">
        <v>2395</v>
      </c>
      <c r="C621" s="287">
        <v>1091</v>
      </c>
      <c r="D621" s="288">
        <f t="shared" si="118"/>
        <v>39</v>
      </c>
      <c r="E621" s="287"/>
      <c r="F621" s="287"/>
      <c r="G621" s="287">
        <v>5</v>
      </c>
      <c r="H621" s="287"/>
      <c r="I621" s="302">
        <v>34</v>
      </c>
      <c r="J621" s="303">
        <f t="shared" si="124"/>
        <v>3.57</v>
      </c>
    </row>
    <row r="622" s="106" customFormat="1" ht="20.1" customHeight="1" spans="1:10">
      <c r="A622" s="279" t="s">
        <v>2396</v>
      </c>
      <c r="B622" s="41" t="s">
        <v>2397</v>
      </c>
      <c r="C622" s="287">
        <v>378</v>
      </c>
      <c r="D622" s="288">
        <f t="shared" si="118"/>
        <v>600</v>
      </c>
      <c r="E622" s="287">
        <v>297</v>
      </c>
      <c r="F622" s="287"/>
      <c r="G622" s="287">
        <v>31</v>
      </c>
      <c r="H622" s="287"/>
      <c r="I622" s="302">
        <v>272</v>
      </c>
      <c r="J622" s="303">
        <f t="shared" si="124"/>
        <v>158.73</v>
      </c>
    </row>
    <row r="623" s="106" customFormat="1" ht="20.1" customHeight="1" spans="1:10">
      <c r="A623" s="279" t="s">
        <v>2398</v>
      </c>
      <c r="B623" s="41" t="s">
        <v>2399</v>
      </c>
      <c r="C623" s="287">
        <v>231</v>
      </c>
      <c r="D623" s="288">
        <f t="shared" si="118"/>
        <v>0</v>
      </c>
      <c r="E623" s="287"/>
      <c r="F623" s="287"/>
      <c r="G623" s="287"/>
      <c r="H623" s="287"/>
      <c r="I623" s="302"/>
      <c r="J623" s="303">
        <f t="shared" si="124"/>
        <v>-100</v>
      </c>
    </row>
    <row r="624" s="106" customFormat="1" ht="20.1" customHeight="1" spans="1:10">
      <c r="A624" s="279" t="s">
        <v>2400</v>
      </c>
      <c r="B624" s="326" t="s">
        <v>2401</v>
      </c>
      <c r="C624" s="287"/>
      <c r="D624" s="288">
        <f t="shared" si="118"/>
        <v>0</v>
      </c>
      <c r="E624" s="287"/>
      <c r="F624" s="287"/>
      <c r="G624" s="287"/>
      <c r="H624" s="287"/>
      <c r="I624" s="302"/>
      <c r="J624" s="303"/>
    </row>
    <row r="625" s="106" customFormat="1" ht="20.1" customHeight="1" spans="1:10">
      <c r="A625" s="327" t="s">
        <v>2402</v>
      </c>
      <c r="B625" s="328" t="s">
        <v>2403</v>
      </c>
      <c r="C625" s="287">
        <v>19</v>
      </c>
      <c r="D625" s="288">
        <f t="shared" si="118"/>
        <v>0</v>
      </c>
      <c r="E625" s="287"/>
      <c r="F625" s="287"/>
      <c r="G625" s="287"/>
      <c r="H625" s="287"/>
      <c r="I625" s="302"/>
      <c r="J625" s="303">
        <f t="shared" ref="J625:J639" si="128">ROUND(IF(C625=0,IF(D625=0,0,1),IF(D625=0,-1,D625/C625)),4)*100</f>
        <v>-100</v>
      </c>
    </row>
    <row r="626" s="106" customFormat="1" ht="20.1" customHeight="1" spans="1:10">
      <c r="A626" s="279" t="s">
        <v>2404</v>
      </c>
      <c r="B626" s="41" t="s">
        <v>2405</v>
      </c>
      <c r="C626" s="287">
        <v>104</v>
      </c>
      <c r="D626" s="288">
        <f t="shared" si="118"/>
        <v>1494</v>
      </c>
      <c r="E626" s="287">
        <v>1472</v>
      </c>
      <c r="F626" s="287"/>
      <c r="G626" s="287">
        <v>8</v>
      </c>
      <c r="H626" s="287"/>
      <c r="I626" s="302">
        <v>14</v>
      </c>
      <c r="J626" s="303">
        <f t="shared" si="128"/>
        <v>1436.54</v>
      </c>
    </row>
    <row r="627" s="106" customFormat="1" ht="20.1" customHeight="1" spans="1:10">
      <c r="A627" s="283" t="s">
        <v>652</v>
      </c>
      <c r="B627" s="323" t="s">
        <v>2406</v>
      </c>
      <c r="C627" s="285">
        <f t="shared" ref="C627:I627" si="129">SUM(C628:C633)</f>
        <v>233</v>
      </c>
      <c r="D627" s="285">
        <f t="shared" si="118"/>
        <v>304</v>
      </c>
      <c r="E627" s="285">
        <f t="shared" si="129"/>
        <v>163</v>
      </c>
      <c r="F627" s="285">
        <f t="shared" si="129"/>
        <v>0</v>
      </c>
      <c r="G627" s="285">
        <f t="shared" si="129"/>
        <v>57</v>
      </c>
      <c r="H627" s="285">
        <f t="shared" si="129"/>
        <v>0</v>
      </c>
      <c r="I627" s="285">
        <f t="shared" si="129"/>
        <v>84</v>
      </c>
      <c r="J627" s="324">
        <f t="shared" si="128"/>
        <v>130.47</v>
      </c>
    </row>
    <row r="628" s="107" customFormat="1" ht="20.1" customHeight="1" spans="1:10">
      <c r="A628" s="279" t="s">
        <v>2407</v>
      </c>
      <c r="B628" s="41" t="s">
        <v>2408</v>
      </c>
      <c r="C628" s="287">
        <v>142</v>
      </c>
      <c r="D628" s="288">
        <f t="shared" si="118"/>
        <v>226</v>
      </c>
      <c r="E628" s="287">
        <v>125</v>
      </c>
      <c r="F628" s="287"/>
      <c r="G628" s="287">
        <v>39</v>
      </c>
      <c r="H628" s="287"/>
      <c r="I628" s="302">
        <v>62</v>
      </c>
      <c r="J628" s="303">
        <f t="shared" si="128"/>
        <v>159.15</v>
      </c>
    </row>
    <row r="629" s="266" customFormat="1" ht="20.1" customHeight="1" spans="1:10">
      <c r="A629" s="279" t="s">
        <v>2409</v>
      </c>
      <c r="B629" s="41" t="s">
        <v>2410</v>
      </c>
      <c r="C629" s="287">
        <v>12</v>
      </c>
      <c r="D629" s="288">
        <f t="shared" si="118"/>
        <v>3</v>
      </c>
      <c r="E629" s="287"/>
      <c r="F629" s="287"/>
      <c r="G629" s="287">
        <v>3</v>
      </c>
      <c r="H629" s="287"/>
      <c r="I629" s="302"/>
      <c r="J629" s="303">
        <f t="shared" si="128"/>
        <v>25</v>
      </c>
    </row>
    <row r="630" s="266" customFormat="1" ht="20.1" customHeight="1" spans="1:10">
      <c r="A630" s="279" t="s">
        <v>2411</v>
      </c>
      <c r="B630" s="41" t="s">
        <v>2412</v>
      </c>
      <c r="C630" s="287">
        <v>3</v>
      </c>
      <c r="D630" s="288">
        <f t="shared" si="118"/>
        <v>6</v>
      </c>
      <c r="E630" s="287"/>
      <c r="F630" s="287"/>
      <c r="G630" s="287">
        <v>6</v>
      </c>
      <c r="H630" s="287"/>
      <c r="I630" s="302"/>
      <c r="J630" s="303">
        <f t="shared" si="128"/>
        <v>200</v>
      </c>
    </row>
    <row r="631" s="106" customFormat="1" ht="20.1" customHeight="1" spans="1:10">
      <c r="A631" s="279" t="s">
        <v>2413</v>
      </c>
      <c r="B631" s="41" t="s">
        <v>2414</v>
      </c>
      <c r="C631" s="287">
        <v>55</v>
      </c>
      <c r="D631" s="288">
        <f t="shared" si="118"/>
        <v>2</v>
      </c>
      <c r="E631" s="287"/>
      <c r="F631" s="287"/>
      <c r="G631" s="287">
        <v>2</v>
      </c>
      <c r="H631" s="287"/>
      <c r="I631" s="302"/>
      <c r="J631" s="303">
        <f t="shared" si="128"/>
        <v>3.64</v>
      </c>
    </row>
    <row r="632" s="106" customFormat="1" ht="20.1" customHeight="1" spans="1:10">
      <c r="A632" s="279" t="s">
        <v>2415</v>
      </c>
      <c r="B632" s="41" t="s">
        <v>2416</v>
      </c>
      <c r="C632" s="287">
        <v>18</v>
      </c>
      <c r="D632" s="288">
        <f t="shared" si="118"/>
        <v>24</v>
      </c>
      <c r="E632" s="287">
        <v>1</v>
      </c>
      <c r="F632" s="287"/>
      <c r="G632" s="287">
        <v>3</v>
      </c>
      <c r="H632" s="287"/>
      <c r="I632" s="302">
        <v>20</v>
      </c>
      <c r="J632" s="303">
        <f t="shared" si="128"/>
        <v>133.33</v>
      </c>
    </row>
    <row r="633" s="106" customFormat="1" ht="20.1" customHeight="1" spans="1:10">
      <c r="A633" s="279" t="s">
        <v>2417</v>
      </c>
      <c r="B633" s="41" t="s">
        <v>2418</v>
      </c>
      <c r="C633" s="287">
        <v>3</v>
      </c>
      <c r="D633" s="288">
        <f t="shared" ref="D633:D696" si="130">SUM(E633:I633)</f>
        <v>43</v>
      </c>
      <c r="E633" s="287">
        <v>37</v>
      </c>
      <c r="F633" s="287"/>
      <c r="G633" s="287">
        <v>4</v>
      </c>
      <c r="H633" s="287"/>
      <c r="I633" s="302">
        <v>2</v>
      </c>
      <c r="J633" s="303">
        <f t="shared" si="128"/>
        <v>1433.33</v>
      </c>
    </row>
    <row r="634" s="106" customFormat="1" ht="20.1" customHeight="1" spans="1:10">
      <c r="A634" s="283" t="s">
        <v>654</v>
      </c>
      <c r="B634" s="323" t="s">
        <v>2419</v>
      </c>
      <c r="C634" s="285">
        <f t="shared" ref="C634:I634" si="131">SUM(C635:C641)</f>
        <v>1329</v>
      </c>
      <c r="D634" s="285">
        <f t="shared" si="130"/>
        <v>1116</v>
      </c>
      <c r="E634" s="285">
        <f t="shared" si="131"/>
        <v>260</v>
      </c>
      <c r="F634" s="285">
        <f t="shared" si="131"/>
        <v>0</v>
      </c>
      <c r="G634" s="285">
        <f t="shared" si="131"/>
        <v>0</v>
      </c>
      <c r="H634" s="285">
        <f t="shared" si="131"/>
        <v>0</v>
      </c>
      <c r="I634" s="285">
        <f t="shared" si="131"/>
        <v>856</v>
      </c>
      <c r="J634" s="324">
        <f t="shared" si="128"/>
        <v>83.97</v>
      </c>
    </row>
    <row r="635" s="107" customFormat="1" ht="20.1" customHeight="1" spans="1:10">
      <c r="A635" s="279" t="s">
        <v>2420</v>
      </c>
      <c r="B635" s="41" t="s">
        <v>2421</v>
      </c>
      <c r="C635" s="287">
        <v>123</v>
      </c>
      <c r="D635" s="288">
        <f t="shared" si="130"/>
        <v>18</v>
      </c>
      <c r="E635" s="287"/>
      <c r="F635" s="287"/>
      <c r="G635" s="287"/>
      <c r="H635" s="287"/>
      <c r="I635" s="302">
        <v>18</v>
      </c>
      <c r="J635" s="303">
        <f t="shared" si="128"/>
        <v>14.63</v>
      </c>
    </row>
    <row r="636" s="266" customFormat="1" ht="20.1" customHeight="1" spans="1:10">
      <c r="A636" s="279" t="s">
        <v>2422</v>
      </c>
      <c r="B636" s="41" t="s">
        <v>2423</v>
      </c>
      <c r="C636" s="287">
        <v>1200</v>
      </c>
      <c r="D636" s="288">
        <f t="shared" si="130"/>
        <v>838</v>
      </c>
      <c r="E636" s="287"/>
      <c r="F636" s="287"/>
      <c r="G636" s="287"/>
      <c r="H636" s="287"/>
      <c r="I636" s="302">
        <v>838</v>
      </c>
      <c r="J636" s="303">
        <f t="shared" si="128"/>
        <v>69.83</v>
      </c>
    </row>
    <row r="637" s="266" customFormat="1" ht="20.1" customHeight="1" spans="1:10">
      <c r="A637" s="279" t="s">
        <v>2424</v>
      </c>
      <c r="B637" s="41" t="s">
        <v>2425</v>
      </c>
      <c r="C637" s="287"/>
      <c r="D637" s="288">
        <f t="shared" si="130"/>
        <v>0</v>
      </c>
      <c r="E637" s="287"/>
      <c r="F637" s="287"/>
      <c r="G637" s="287"/>
      <c r="H637" s="287"/>
      <c r="I637" s="302"/>
      <c r="J637" s="303">
        <f t="shared" si="128"/>
        <v>0</v>
      </c>
    </row>
    <row r="638" s="266" customFormat="1" ht="20.1" customHeight="1" spans="1:10">
      <c r="A638" s="279" t="s">
        <v>2426</v>
      </c>
      <c r="B638" s="41" t="s">
        <v>2427</v>
      </c>
      <c r="C638" s="287"/>
      <c r="D638" s="288">
        <f t="shared" si="130"/>
        <v>0</v>
      </c>
      <c r="E638" s="287"/>
      <c r="F638" s="287"/>
      <c r="G638" s="287"/>
      <c r="H638" s="287"/>
      <c r="I638" s="302"/>
      <c r="J638" s="303">
        <f t="shared" si="128"/>
        <v>0</v>
      </c>
    </row>
    <row r="639" s="106" customFormat="1" ht="20.1" customHeight="1" spans="1:10">
      <c r="A639" s="279" t="s">
        <v>2428</v>
      </c>
      <c r="B639" s="41" t="s">
        <v>2429</v>
      </c>
      <c r="C639" s="287"/>
      <c r="D639" s="288">
        <f t="shared" si="130"/>
        <v>0</v>
      </c>
      <c r="E639" s="287"/>
      <c r="F639" s="287"/>
      <c r="G639" s="287"/>
      <c r="H639" s="287"/>
      <c r="I639" s="302"/>
      <c r="J639" s="303">
        <f t="shared" si="128"/>
        <v>0</v>
      </c>
    </row>
    <row r="640" s="106" customFormat="1" ht="20.1" customHeight="1" spans="1:10">
      <c r="A640" s="279" t="s">
        <v>2430</v>
      </c>
      <c r="B640" s="41" t="s">
        <v>2431</v>
      </c>
      <c r="C640" s="287">
        <v>4</v>
      </c>
      <c r="D640" s="288">
        <f t="shared" si="130"/>
        <v>258</v>
      </c>
      <c r="E640" s="287">
        <v>258</v>
      </c>
      <c r="F640" s="287"/>
      <c r="G640" s="287"/>
      <c r="H640" s="287"/>
      <c r="I640" s="302"/>
      <c r="J640" s="303"/>
    </row>
    <row r="641" s="106" customFormat="1" ht="20.1" customHeight="1" spans="1:10">
      <c r="A641" s="279" t="s">
        <v>2432</v>
      </c>
      <c r="B641" s="41" t="s">
        <v>2433</v>
      </c>
      <c r="C641" s="287">
        <v>2</v>
      </c>
      <c r="D641" s="288">
        <f t="shared" si="130"/>
        <v>2</v>
      </c>
      <c r="E641" s="287">
        <v>2</v>
      </c>
      <c r="F641" s="287"/>
      <c r="G641" s="287"/>
      <c r="H641" s="287"/>
      <c r="I641" s="302"/>
      <c r="J641" s="303">
        <f t="shared" ref="J641:J654" si="132">ROUND(IF(C641=0,IF(D641=0,0,1),IF(D641=0,-1,D641/C641)),4)*100</f>
        <v>100</v>
      </c>
    </row>
    <row r="642" s="106" customFormat="1" ht="20.1" customHeight="1" spans="1:10">
      <c r="A642" s="283" t="s">
        <v>656</v>
      </c>
      <c r="B642" s="323" t="s">
        <v>2434</v>
      </c>
      <c r="C642" s="285">
        <f t="shared" ref="C642:I642" si="133">SUM(C643:C650)</f>
        <v>1650</v>
      </c>
      <c r="D642" s="285">
        <f t="shared" si="130"/>
        <v>620</v>
      </c>
      <c r="E642" s="285">
        <f t="shared" si="133"/>
        <v>178</v>
      </c>
      <c r="F642" s="285">
        <f t="shared" si="133"/>
        <v>0</v>
      </c>
      <c r="G642" s="285">
        <f t="shared" si="133"/>
        <v>135</v>
      </c>
      <c r="H642" s="285">
        <f t="shared" si="133"/>
        <v>0</v>
      </c>
      <c r="I642" s="285">
        <f t="shared" si="133"/>
        <v>307</v>
      </c>
      <c r="J642" s="324">
        <f t="shared" si="132"/>
        <v>37.58</v>
      </c>
    </row>
    <row r="643" s="107" customFormat="1" ht="20.1" customHeight="1" spans="1:10">
      <c r="A643" s="279" t="s">
        <v>2435</v>
      </c>
      <c r="B643" s="41" t="s">
        <v>1458</v>
      </c>
      <c r="C643" s="287">
        <v>105</v>
      </c>
      <c r="D643" s="288">
        <f t="shared" si="130"/>
        <v>102</v>
      </c>
      <c r="E643" s="287"/>
      <c r="F643" s="287"/>
      <c r="G643" s="287"/>
      <c r="H643" s="287"/>
      <c r="I643" s="302">
        <v>102</v>
      </c>
      <c r="J643" s="303">
        <f t="shared" si="132"/>
        <v>97.14</v>
      </c>
    </row>
    <row r="644" s="106" customFormat="1" ht="20.1" customHeight="1" spans="1:10">
      <c r="A644" s="279" t="s">
        <v>2436</v>
      </c>
      <c r="B644" s="41" t="s">
        <v>1460</v>
      </c>
      <c r="C644" s="287">
        <v>3</v>
      </c>
      <c r="D644" s="288">
        <f t="shared" si="130"/>
        <v>0</v>
      </c>
      <c r="E644" s="287"/>
      <c r="F644" s="287"/>
      <c r="G644" s="287"/>
      <c r="H644" s="287"/>
      <c r="I644" s="302"/>
      <c r="J644" s="303">
        <f t="shared" si="132"/>
        <v>-100</v>
      </c>
    </row>
    <row r="645" s="106" customFormat="1" ht="20.1" customHeight="1" spans="1:10">
      <c r="A645" s="279" t="s">
        <v>2437</v>
      </c>
      <c r="B645" s="41" t="s">
        <v>1462</v>
      </c>
      <c r="C645" s="287"/>
      <c r="D645" s="288">
        <f t="shared" si="130"/>
        <v>1</v>
      </c>
      <c r="E645" s="287"/>
      <c r="F645" s="287"/>
      <c r="G645" s="287"/>
      <c r="H645" s="287"/>
      <c r="I645" s="302">
        <v>1</v>
      </c>
      <c r="J645" s="303">
        <f t="shared" si="132"/>
        <v>100</v>
      </c>
    </row>
    <row r="646" s="106" customFormat="1" ht="20.1" customHeight="1" spans="1:10">
      <c r="A646" s="279" t="s">
        <v>2438</v>
      </c>
      <c r="B646" s="41" t="s">
        <v>2439</v>
      </c>
      <c r="C646" s="287">
        <v>271</v>
      </c>
      <c r="D646" s="288">
        <f t="shared" si="130"/>
        <v>133</v>
      </c>
      <c r="E646" s="287">
        <v>27</v>
      </c>
      <c r="F646" s="287"/>
      <c r="G646" s="287">
        <v>106</v>
      </c>
      <c r="H646" s="287"/>
      <c r="I646" s="302"/>
      <c r="J646" s="303">
        <f t="shared" si="132"/>
        <v>49.08</v>
      </c>
    </row>
    <row r="647" s="106" customFormat="1" ht="20.1" customHeight="1" spans="1:10">
      <c r="A647" s="279" t="s">
        <v>2440</v>
      </c>
      <c r="B647" s="41" t="s">
        <v>2441</v>
      </c>
      <c r="C647" s="287">
        <v>118</v>
      </c>
      <c r="D647" s="288">
        <f t="shared" si="130"/>
        <v>69</v>
      </c>
      <c r="E647" s="287">
        <v>40</v>
      </c>
      <c r="F647" s="287"/>
      <c r="G647" s="287">
        <v>28</v>
      </c>
      <c r="H647" s="287"/>
      <c r="I647" s="302">
        <v>1</v>
      </c>
      <c r="J647" s="303">
        <f t="shared" si="132"/>
        <v>58.47</v>
      </c>
    </row>
    <row r="648" s="106" customFormat="1" ht="20.1" customHeight="1" spans="1:10">
      <c r="A648" s="279" t="s">
        <v>2442</v>
      </c>
      <c r="B648" s="41" t="s">
        <v>2443</v>
      </c>
      <c r="C648" s="287"/>
      <c r="D648" s="288">
        <f t="shared" si="130"/>
        <v>0</v>
      </c>
      <c r="E648" s="287"/>
      <c r="F648" s="287"/>
      <c r="G648" s="287"/>
      <c r="H648" s="287"/>
      <c r="I648" s="302"/>
      <c r="J648" s="303">
        <f t="shared" si="132"/>
        <v>0</v>
      </c>
    </row>
    <row r="649" s="106" customFormat="1" ht="20.1" customHeight="1" spans="1:10">
      <c r="A649" s="279" t="s">
        <v>2444</v>
      </c>
      <c r="B649" s="41" t="s">
        <v>2445</v>
      </c>
      <c r="C649" s="287">
        <v>1113</v>
      </c>
      <c r="D649" s="288">
        <f t="shared" si="130"/>
        <v>195</v>
      </c>
      <c r="E649" s="287"/>
      <c r="F649" s="287"/>
      <c r="G649" s="287">
        <v>1</v>
      </c>
      <c r="H649" s="287"/>
      <c r="I649" s="302">
        <v>194</v>
      </c>
      <c r="J649" s="303">
        <f t="shared" si="132"/>
        <v>17.52</v>
      </c>
    </row>
    <row r="650" s="106" customFormat="1" ht="20.1" customHeight="1" spans="1:10">
      <c r="A650" s="279" t="s">
        <v>2446</v>
      </c>
      <c r="B650" s="41" t="s">
        <v>2447</v>
      </c>
      <c r="C650" s="287">
        <v>40</v>
      </c>
      <c r="D650" s="288">
        <f t="shared" si="130"/>
        <v>120</v>
      </c>
      <c r="E650" s="287">
        <v>111</v>
      </c>
      <c r="F650" s="287"/>
      <c r="G650" s="287"/>
      <c r="H650" s="287"/>
      <c r="I650" s="302">
        <v>9</v>
      </c>
      <c r="J650" s="303">
        <f t="shared" si="132"/>
        <v>300</v>
      </c>
    </row>
    <row r="651" s="106" customFormat="1" ht="20.1" customHeight="1" spans="1:10">
      <c r="A651" s="283" t="s">
        <v>658</v>
      </c>
      <c r="B651" s="323" t="s">
        <v>2448</v>
      </c>
      <c r="C651" s="285">
        <f t="shared" ref="C651:I651" si="134">SUM(C652:C656)</f>
        <v>50</v>
      </c>
      <c r="D651" s="285">
        <f t="shared" si="130"/>
        <v>42</v>
      </c>
      <c r="E651" s="285">
        <f t="shared" si="134"/>
        <v>0</v>
      </c>
      <c r="F651" s="285">
        <f t="shared" si="134"/>
        <v>1</v>
      </c>
      <c r="G651" s="285">
        <f t="shared" si="134"/>
        <v>0</v>
      </c>
      <c r="H651" s="285">
        <f t="shared" si="134"/>
        <v>0</v>
      </c>
      <c r="I651" s="285">
        <f t="shared" si="134"/>
        <v>41</v>
      </c>
      <c r="J651" s="324">
        <f t="shared" si="132"/>
        <v>84</v>
      </c>
    </row>
    <row r="652" s="107" customFormat="1" ht="20.1" customHeight="1" spans="1:10">
      <c r="A652" s="279" t="s">
        <v>2449</v>
      </c>
      <c r="B652" s="41" t="s">
        <v>1458</v>
      </c>
      <c r="C652" s="287">
        <v>49</v>
      </c>
      <c r="D652" s="288">
        <f t="shared" si="130"/>
        <v>41</v>
      </c>
      <c r="E652" s="287"/>
      <c r="F652" s="287"/>
      <c r="G652" s="287"/>
      <c r="H652" s="287"/>
      <c r="I652" s="302">
        <v>41</v>
      </c>
      <c r="J652" s="303">
        <f t="shared" si="132"/>
        <v>83.67</v>
      </c>
    </row>
    <row r="653" s="106" customFormat="1" ht="20.1" customHeight="1" spans="1:10">
      <c r="A653" s="279" t="s">
        <v>2450</v>
      </c>
      <c r="B653" s="41" t="s">
        <v>1460</v>
      </c>
      <c r="C653" s="287"/>
      <c r="D653" s="288">
        <f t="shared" si="130"/>
        <v>0</v>
      </c>
      <c r="E653" s="287"/>
      <c r="F653" s="287"/>
      <c r="G653" s="287"/>
      <c r="H653" s="287"/>
      <c r="I653" s="302"/>
      <c r="J653" s="303">
        <f t="shared" si="132"/>
        <v>0</v>
      </c>
    </row>
    <row r="654" s="106" customFormat="1" ht="20.1" customHeight="1" spans="1:10">
      <c r="A654" s="279" t="s">
        <v>2451</v>
      </c>
      <c r="B654" s="41" t="s">
        <v>1462</v>
      </c>
      <c r="C654" s="287"/>
      <c r="D654" s="288">
        <f t="shared" si="130"/>
        <v>0</v>
      </c>
      <c r="E654" s="287"/>
      <c r="F654" s="287"/>
      <c r="G654" s="287"/>
      <c r="H654" s="287"/>
      <c r="I654" s="302"/>
      <c r="J654" s="303">
        <f t="shared" si="132"/>
        <v>0</v>
      </c>
    </row>
    <row r="655" s="106" customFormat="1" ht="20.1" customHeight="1" spans="1:10">
      <c r="A655" s="279" t="s">
        <v>2452</v>
      </c>
      <c r="B655" s="41" t="s">
        <v>1476</v>
      </c>
      <c r="C655" s="287"/>
      <c r="D655" s="288">
        <f t="shared" si="130"/>
        <v>0</v>
      </c>
      <c r="E655" s="287"/>
      <c r="F655" s="287"/>
      <c r="G655" s="287"/>
      <c r="H655" s="287"/>
      <c r="I655" s="302"/>
      <c r="J655" s="303"/>
    </row>
    <row r="656" s="106" customFormat="1" ht="20.1" customHeight="1" spans="1:10">
      <c r="A656" s="279" t="s">
        <v>2453</v>
      </c>
      <c r="B656" s="41" t="s">
        <v>2454</v>
      </c>
      <c r="C656" s="287">
        <v>1</v>
      </c>
      <c r="D656" s="288">
        <f t="shared" si="130"/>
        <v>1</v>
      </c>
      <c r="E656" s="287"/>
      <c r="F656" s="287">
        <v>1</v>
      </c>
      <c r="G656" s="287"/>
      <c r="H656" s="287"/>
      <c r="I656" s="302"/>
      <c r="J656" s="303">
        <f t="shared" ref="J656:J685" si="135">ROUND(IF(C656=0,IF(D656=0,0,1),IF(D656=0,-1,D656/C656)),4)*100</f>
        <v>100</v>
      </c>
    </row>
    <row r="657" s="106" customFormat="1" ht="20.1" customHeight="1" spans="1:10">
      <c r="A657" s="283" t="s">
        <v>660</v>
      </c>
      <c r="B657" s="323" t="s">
        <v>2455</v>
      </c>
      <c r="C657" s="285">
        <f t="shared" ref="C657:I657" si="136">SUM(C658:C659)</f>
        <v>11123</v>
      </c>
      <c r="D657" s="285">
        <f t="shared" si="130"/>
        <v>12672</v>
      </c>
      <c r="E657" s="285">
        <f t="shared" si="136"/>
        <v>12671</v>
      </c>
      <c r="F657" s="285">
        <f t="shared" si="136"/>
        <v>0</v>
      </c>
      <c r="G657" s="285">
        <f t="shared" si="136"/>
        <v>1</v>
      </c>
      <c r="H657" s="285">
        <f t="shared" si="136"/>
        <v>0</v>
      </c>
      <c r="I657" s="285">
        <f t="shared" si="136"/>
        <v>0</v>
      </c>
      <c r="J657" s="324">
        <f t="shared" si="135"/>
        <v>113.93</v>
      </c>
    </row>
    <row r="658" s="107" customFormat="1" ht="20.1" customHeight="1" spans="1:10">
      <c r="A658" s="279" t="s">
        <v>2456</v>
      </c>
      <c r="B658" s="41" t="s">
        <v>2457</v>
      </c>
      <c r="C658" s="287">
        <v>3391</v>
      </c>
      <c r="D658" s="288">
        <f t="shared" si="130"/>
        <v>3365</v>
      </c>
      <c r="E658" s="287">
        <v>3365</v>
      </c>
      <c r="F658" s="287"/>
      <c r="G658" s="287"/>
      <c r="H658" s="287"/>
      <c r="I658" s="302"/>
      <c r="J658" s="303">
        <f t="shared" si="135"/>
        <v>99.23</v>
      </c>
    </row>
    <row r="659" s="106" customFormat="1" ht="20.1" customHeight="1" spans="1:10">
      <c r="A659" s="279" t="s">
        <v>2458</v>
      </c>
      <c r="B659" s="41" t="s">
        <v>2459</v>
      </c>
      <c r="C659" s="287">
        <v>7732</v>
      </c>
      <c r="D659" s="288">
        <f t="shared" si="130"/>
        <v>9307</v>
      </c>
      <c r="E659" s="287">
        <v>9306</v>
      </c>
      <c r="F659" s="287"/>
      <c r="G659" s="287">
        <v>1</v>
      </c>
      <c r="H659" s="287"/>
      <c r="I659" s="302"/>
      <c r="J659" s="303">
        <f t="shared" si="135"/>
        <v>120.37</v>
      </c>
    </row>
    <row r="660" s="106" customFormat="1" ht="20.1" customHeight="1" spans="1:10">
      <c r="A660" s="283" t="s">
        <v>662</v>
      </c>
      <c r="B660" s="323" t="s">
        <v>2460</v>
      </c>
      <c r="C660" s="285">
        <f t="shared" ref="C660:I660" si="137">SUM(C661:C662)</f>
        <v>153</v>
      </c>
      <c r="D660" s="285">
        <f t="shared" si="130"/>
        <v>16</v>
      </c>
      <c r="E660" s="285">
        <f t="shared" si="137"/>
        <v>0</v>
      </c>
      <c r="F660" s="285">
        <f t="shared" si="137"/>
        <v>0</v>
      </c>
      <c r="G660" s="285">
        <f t="shared" si="137"/>
        <v>16</v>
      </c>
      <c r="H660" s="285">
        <f t="shared" si="137"/>
        <v>0</v>
      </c>
      <c r="I660" s="285">
        <f t="shared" si="137"/>
        <v>0</v>
      </c>
      <c r="J660" s="324">
        <f t="shared" si="135"/>
        <v>10.46</v>
      </c>
    </row>
    <row r="661" s="107" customFormat="1" ht="20.1" customHeight="1" spans="1:10">
      <c r="A661" s="279" t="s">
        <v>2461</v>
      </c>
      <c r="B661" s="41" t="s">
        <v>2462</v>
      </c>
      <c r="C661" s="287">
        <v>149</v>
      </c>
      <c r="D661" s="288">
        <f t="shared" si="130"/>
        <v>16</v>
      </c>
      <c r="E661" s="287"/>
      <c r="F661" s="287"/>
      <c r="G661" s="287">
        <v>16</v>
      </c>
      <c r="H661" s="287"/>
      <c r="I661" s="302"/>
      <c r="J661" s="303">
        <f t="shared" si="135"/>
        <v>10.74</v>
      </c>
    </row>
    <row r="662" s="106" customFormat="1" ht="20.1" customHeight="1" spans="1:10">
      <c r="A662" s="279" t="s">
        <v>2463</v>
      </c>
      <c r="B662" s="41" t="s">
        <v>2464</v>
      </c>
      <c r="C662" s="287">
        <v>4</v>
      </c>
      <c r="D662" s="288">
        <f t="shared" si="130"/>
        <v>0</v>
      </c>
      <c r="E662" s="287"/>
      <c r="F662" s="287"/>
      <c r="G662" s="287"/>
      <c r="H662" s="287"/>
      <c r="I662" s="302"/>
      <c r="J662" s="303">
        <f t="shared" si="135"/>
        <v>-100</v>
      </c>
    </row>
    <row r="663" s="106" customFormat="1" ht="20.1" customHeight="1" spans="1:10">
      <c r="A663" s="283" t="s">
        <v>664</v>
      </c>
      <c r="B663" s="323" t="s">
        <v>2465</v>
      </c>
      <c r="C663" s="285">
        <f t="shared" ref="C663:I663" si="138">SUM(C664:C665)</f>
        <v>1790</v>
      </c>
      <c r="D663" s="285">
        <f t="shared" si="130"/>
        <v>0</v>
      </c>
      <c r="E663" s="285">
        <f t="shared" si="138"/>
        <v>0</v>
      </c>
      <c r="F663" s="285">
        <f t="shared" si="138"/>
        <v>0</v>
      </c>
      <c r="G663" s="285">
        <f t="shared" si="138"/>
        <v>0</v>
      </c>
      <c r="H663" s="285">
        <f t="shared" si="138"/>
        <v>0</v>
      </c>
      <c r="I663" s="285">
        <f t="shared" si="138"/>
        <v>0</v>
      </c>
      <c r="J663" s="324">
        <f t="shared" si="135"/>
        <v>-100</v>
      </c>
    </row>
    <row r="664" s="107" customFormat="1" ht="20.1" customHeight="1" spans="1:10">
      <c r="A664" s="279" t="s">
        <v>2466</v>
      </c>
      <c r="B664" s="41" t="s">
        <v>2467</v>
      </c>
      <c r="C664" s="287">
        <v>367</v>
      </c>
      <c r="D664" s="288">
        <f t="shared" si="130"/>
        <v>0</v>
      </c>
      <c r="E664" s="287"/>
      <c r="F664" s="287"/>
      <c r="G664" s="287"/>
      <c r="H664" s="287"/>
      <c r="I664" s="302"/>
      <c r="J664" s="303">
        <f t="shared" si="135"/>
        <v>-100</v>
      </c>
    </row>
    <row r="665" s="106" customFormat="1" ht="20.1" customHeight="1" spans="1:10">
      <c r="A665" s="279" t="s">
        <v>2468</v>
      </c>
      <c r="B665" s="41" t="s">
        <v>2469</v>
      </c>
      <c r="C665" s="287">
        <v>1423</v>
      </c>
      <c r="D665" s="288">
        <f t="shared" si="130"/>
        <v>0</v>
      </c>
      <c r="E665" s="287"/>
      <c r="F665" s="287"/>
      <c r="G665" s="287"/>
      <c r="H665" s="287"/>
      <c r="I665" s="302"/>
      <c r="J665" s="303">
        <f t="shared" si="135"/>
        <v>-100</v>
      </c>
    </row>
    <row r="666" s="106" customFormat="1" ht="20.1" customHeight="1" spans="1:10">
      <c r="A666" s="283" t="s">
        <v>666</v>
      </c>
      <c r="B666" s="323" t="s">
        <v>2470</v>
      </c>
      <c r="C666" s="285">
        <v>0</v>
      </c>
      <c r="D666" s="285">
        <f t="shared" si="130"/>
        <v>0</v>
      </c>
      <c r="E666" s="285">
        <f t="shared" ref="E666:H666" si="139">SUM(E667:E668)</f>
        <v>0</v>
      </c>
      <c r="F666" s="285">
        <f t="shared" si="139"/>
        <v>0</v>
      </c>
      <c r="G666" s="285">
        <f>VLOOKUP(A666,[1]√表四、2025年公共财政支出变动表!$A$8:$S$221,18,FALSE)</f>
        <v>0</v>
      </c>
      <c r="H666" s="285">
        <f t="shared" si="139"/>
        <v>0</v>
      </c>
      <c r="I666" s="285"/>
      <c r="J666" s="324">
        <f t="shared" si="135"/>
        <v>0</v>
      </c>
    </row>
    <row r="667" s="107" customFormat="1" ht="20.1" customHeight="1" spans="1:10">
      <c r="A667" s="279" t="s">
        <v>2471</v>
      </c>
      <c r="B667" s="41" t="s">
        <v>2472</v>
      </c>
      <c r="C667" s="287">
        <v>0</v>
      </c>
      <c r="D667" s="288">
        <f t="shared" si="130"/>
        <v>0</v>
      </c>
      <c r="E667" s="287"/>
      <c r="F667" s="287"/>
      <c r="G667" s="287"/>
      <c r="H667" s="287"/>
      <c r="I667" s="302"/>
      <c r="J667" s="303">
        <f t="shared" si="135"/>
        <v>0</v>
      </c>
    </row>
    <row r="668" s="106" customFormat="1" ht="20.1" customHeight="1" spans="1:10">
      <c r="A668" s="279" t="s">
        <v>2473</v>
      </c>
      <c r="B668" s="41" t="s">
        <v>2474</v>
      </c>
      <c r="C668" s="287">
        <v>0</v>
      </c>
      <c r="D668" s="288">
        <f t="shared" si="130"/>
        <v>0</v>
      </c>
      <c r="E668" s="287"/>
      <c r="F668" s="287"/>
      <c r="G668" s="287"/>
      <c r="H668" s="287"/>
      <c r="I668" s="302"/>
      <c r="J668" s="303">
        <f t="shared" si="135"/>
        <v>0</v>
      </c>
    </row>
    <row r="669" s="106" customFormat="1" ht="20.1" customHeight="1" spans="1:10">
      <c r="A669" s="283" t="s">
        <v>668</v>
      </c>
      <c r="B669" s="323" t="s">
        <v>2475</v>
      </c>
      <c r="C669" s="285">
        <f t="shared" ref="C669:I669" si="140">SUM(C670:C671)</f>
        <v>7</v>
      </c>
      <c r="D669" s="285">
        <f t="shared" si="130"/>
        <v>9</v>
      </c>
      <c r="E669" s="285">
        <f t="shared" si="140"/>
        <v>0</v>
      </c>
      <c r="F669" s="285">
        <f t="shared" si="140"/>
        <v>0</v>
      </c>
      <c r="G669" s="285">
        <f t="shared" si="140"/>
        <v>0</v>
      </c>
      <c r="H669" s="285">
        <f t="shared" si="140"/>
        <v>0</v>
      </c>
      <c r="I669" s="285">
        <f t="shared" si="140"/>
        <v>9</v>
      </c>
      <c r="J669" s="324">
        <f t="shared" si="135"/>
        <v>128.57</v>
      </c>
    </row>
    <row r="670" s="107" customFormat="1" ht="20.1" customHeight="1" spans="1:10">
      <c r="A670" s="279" t="s">
        <v>2476</v>
      </c>
      <c r="B670" s="41" t="s">
        <v>2477</v>
      </c>
      <c r="C670" s="287">
        <v>7</v>
      </c>
      <c r="D670" s="288">
        <f t="shared" si="130"/>
        <v>9</v>
      </c>
      <c r="E670" s="287"/>
      <c r="F670" s="287"/>
      <c r="G670" s="287"/>
      <c r="H670" s="287"/>
      <c r="I670" s="302">
        <v>9</v>
      </c>
      <c r="J670" s="303">
        <f t="shared" si="135"/>
        <v>128.57</v>
      </c>
    </row>
    <row r="671" s="106" customFormat="1" ht="20.1" customHeight="1" spans="1:10">
      <c r="A671" s="279" t="s">
        <v>2478</v>
      </c>
      <c r="B671" s="41" t="s">
        <v>2479</v>
      </c>
      <c r="C671" s="287"/>
      <c r="D671" s="288">
        <f t="shared" si="130"/>
        <v>0</v>
      </c>
      <c r="E671" s="287"/>
      <c r="F671" s="287"/>
      <c r="G671" s="287"/>
      <c r="H671" s="287"/>
      <c r="I671" s="302"/>
      <c r="J671" s="303">
        <f t="shared" si="135"/>
        <v>0</v>
      </c>
    </row>
    <row r="672" s="106" customFormat="1" ht="20.1" customHeight="1" spans="1:10">
      <c r="A672" s="283" t="s">
        <v>670</v>
      </c>
      <c r="B672" s="323" t="s">
        <v>2480</v>
      </c>
      <c r="C672" s="285">
        <f t="shared" ref="C672:I672" si="141">SUM(C673:C675)</f>
        <v>15568</v>
      </c>
      <c r="D672" s="285">
        <f t="shared" si="130"/>
        <v>13419</v>
      </c>
      <c r="E672" s="285">
        <f t="shared" si="141"/>
        <v>12233</v>
      </c>
      <c r="F672" s="285">
        <f t="shared" si="141"/>
        <v>0</v>
      </c>
      <c r="G672" s="285">
        <f t="shared" si="141"/>
        <v>0</v>
      </c>
      <c r="H672" s="285">
        <f t="shared" si="141"/>
        <v>1186</v>
      </c>
      <c r="I672" s="285">
        <f t="shared" si="141"/>
        <v>0</v>
      </c>
      <c r="J672" s="324">
        <f t="shared" si="135"/>
        <v>86.2</v>
      </c>
    </row>
    <row r="673" s="107" customFormat="1" ht="20.1" customHeight="1" spans="1:10">
      <c r="A673" s="279" t="s">
        <v>2481</v>
      </c>
      <c r="B673" s="41" t="s">
        <v>2482</v>
      </c>
      <c r="C673" s="287"/>
      <c r="D673" s="288">
        <f t="shared" si="130"/>
        <v>0</v>
      </c>
      <c r="E673" s="287"/>
      <c r="F673" s="287"/>
      <c r="G673" s="287"/>
      <c r="H673" s="287"/>
      <c r="I673" s="302"/>
      <c r="J673" s="303">
        <f t="shared" si="135"/>
        <v>0</v>
      </c>
    </row>
    <row r="674" s="106" customFormat="1" ht="20.1" customHeight="1" spans="1:10">
      <c r="A674" s="279" t="s">
        <v>2483</v>
      </c>
      <c r="B674" s="41" t="s">
        <v>2484</v>
      </c>
      <c r="C674" s="287">
        <v>15568</v>
      </c>
      <c r="D674" s="288">
        <f t="shared" si="130"/>
        <v>13419</v>
      </c>
      <c r="E674" s="287">
        <v>12233</v>
      </c>
      <c r="F674" s="287"/>
      <c r="G674" s="287"/>
      <c r="H674" s="287">
        <v>1186</v>
      </c>
      <c r="I674" s="302"/>
      <c r="J674" s="303">
        <f t="shared" si="135"/>
        <v>86.2</v>
      </c>
    </row>
    <row r="675" s="106" customFormat="1" ht="20.1" customHeight="1" spans="1:10">
      <c r="A675" s="279" t="s">
        <v>2485</v>
      </c>
      <c r="B675" s="41" t="s">
        <v>2486</v>
      </c>
      <c r="C675" s="287"/>
      <c r="D675" s="288">
        <f t="shared" si="130"/>
        <v>0</v>
      </c>
      <c r="E675" s="287"/>
      <c r="F675" s="287"/>
      <c r="G675" s="287"/>
      <c r="H675" s="287"/>
      <c r="I675" s="302"/>
      <c r="J675" s="303">
        <f t="shared" si="135"/>
        <v>0</v>
      </c>
    </row>
    <row r="676" s="106" customFormat="1" ht="20.1" customHeight="1" spans="1:10">
      <c r="A676" s="283" t="s">
        <v>672</v>
      </c>
      <c r="B676" s="323" t="s">
        <v>2487</v>
      </c>
      <c r="C676" s="285">
        <f t="shared" ref="C676:F676" si="142">SUM(C677:C679)</f>
        <v>0</v>
      </c>
      <c r="D676" s="285">
        <f t="shared" si="130"/>
        <v>0</v>
      </c>
      <c r="E676" s="285">
        <f t="shared" si="142"/>
        <v>0</v>
      </c>
      <c r="F676" s="285">
        <f t="shared" si="142"/>
        <v>0</v>
      </c>
      <c r="G676" s="285">
        <f>VLOOKUP(A676,[1]√表四、2025年公共财政支出变动表!$A$8:$S$221,18,FALSE)</f>
        <v>0</v>
      </c>
      <c r="H676" s="285">
        <f>SUM(H677:H679)</f>
        <v>0</v>
      </c>
      <c r="I676" s="285"/>
      <c r="J676" s="324">
        <f t="shared" si="135"/>
        <v>0</v>
      </c>
    </row>
    <row r="677" s="107" customFormat="1" ht="20.1" customHeight="1" spans="1:10">
      <c r="A677" s="279" t="s">
        <v>2488</v>
      </c>
      <c r="B677" s="41" t="s">
        <v>2489</v>
      </c>
      <c r="C677" s="287">
        <v>0</v>
      </c>
      <c r="D677" s="288">
        <f t="shared" si="130"/>
        <v>0</v>
      </c>
      <c r="E677" s="287"/>
      <c r="F677" s="287"/>
      <c r="G677" s="287"/>
      <c r="H677" s="287"/>
      <c r="I677" s="302"/>
      <c r="J677" s="303">
        <f t="shared" si="135"/>
        <v>0</v>
      </c>
    </row>
    <row r="678" s="106" customFormat="1" ht="20.1" customHeight="1" spans="1:10">
      <c r="A678" s="279" t="s">
        <v>2490</v>
      </c>
      <c r="B678" s="41" t="s">
        <v>2491</v>
      </c>
      <c r="C678" s="287">
        <v>0</v>
      </c>
      <c r="D678" s="288">
        <f t="shared" si="130"/>
        <v>0</v>
      </c>
      <c r="E678" s="287"/>
      <c r="F678" s="287"/>
      <c r="G678" s="287"/>
      <c r="H678" s="287"/>
      <c r="I678" s="302"/>
      <c r="J678" s="303">
        <f t="shared" si="135"/>
        <v>0</v>
      </c>
    </row>
    <row r="679" s="106" customFormat="1" ht="20.1" customHeight="1" spans="1:10">
      <c r="A679" s="279" t="s">
        <v>2492</v>
      </c>
      <c r="B679" s="41" t="s">
        <v>2493</v>
      </c>
      <c r="C679" s="287">
        <v>0</v>
      </c>
      <c r="D679" s="288">
        <f t="shared" si="130"/>
        <v>0</v>
      </c>
      <c r="E679" s="287"/>
      <c r="F679" s="287"/>
      <c r="G679" s="287"/>
      <c r="H679" s="287"/>
      <c r="I679" s="302"/>
      <c r="J679" s="303">
        <f t="shared" si="135"/>
        <v>0</v>
      </c>
    </row>
    <row r="680" s="106" customFormat="1" ht="20.1" customHeight="1" spans="1:10">
      <c r="A680" s="283" t="s">
        <v>674</v>
      </c>
      <c r="B680" s="323" t="s">
        <v>2494</v>
      </c>
      <c r="C680" s="285">
        <f t="shared" ref="C680:I680" si="143">SUM(C681:C688)</f>
        <v>207</v>
      </c>
      <c r="D680" s="285">
        <f t="shared" si="130"/>
        <v>205</v>
      </c>
      <c r="E680" s="285">
        <f t="shared" si="143"/>
        <v>0</v>
      </c>
      <c r="F680" s="285">
        <f t="shared" si="143"/>
        <v>0</v>
      </c>
      <c r="G680" s="285">
        <f t="shared" si="143"/>
        <v>0</v>
      </c>
      <c r="H680" s="285">
        <f t="shared" si="143"/>
        <v>0</v>
      </c>
      <c r="I680" s="285">
        <f t="shared" si="143"/>
        <v>205</v>
      </c>
      <c r="J680" s="324">
        <f t="shared" si="135"/>
        <v>99.03</v>
      </c>
    </row>
    <row r="681" s="107" customFormat="1" ht="20.1" customHeight="1" spans="1:10">
      <c r="A681" s="279" t="s">
        <v>2495</v>
      </c>
      <c r="B681" s="334" t="s">
        <v>1458</v>
      </c>
      <c r="C681" s="287">
        <v>129</v>
      </c>
      <c r="D681" s="288">
        <f t="shared" si="130"/>
        <v>127</v>
      </c>
      <c r="E681" s="287"/>
      <c r="F681" s="287"/>
      <c r="G681" s="287"/>
      <c r="H681" s="287"/>
      <c r="I681" s="302">
        <v>127</v>
      </c>
      <c r="J681" s="303">
        <f t="shared" si="135"/>
        <v>98.45</v>
      </c>
    </row>
    <row r="682" s="106" customFormat="1" ht="20.1" customHeight="1" spans="1:10">
      <c r="A682" s="279" t="s">
        <v>2496</v>
      </c>
      <c r="B682" s="334" t="s">
        <v>1460</v>
      </c>
      <c r="C682" s="287"/>
      <c r="D682" s="288">
        <f t="shared" si="130"/>
        <v>0</v>
      </c>
      <c r="E682" s="287"/>
      <c r="F682" s="287"/>
      <c r="G682" s="287"/>
      <c r="H682" s="287"/>
      <c r="I682" s="302"/>
      <c r="J682" s="303">
        <f t="shared" si="135"/>
        <v>0</v>
      </c>
    </row>
    <row r="683" s="266" customFormat="1" ht="20.1" customHeight="1" spans="1:10">
      <c r="A683" s="279" t="s">
        <v>2497</v>
      </c>
      <c r="B683" s="334" t="s">
        <v>1462</v>
      </c>
      <c r="C683" s="287"/>
      <c r="D683" s="288">
        <f t="shared" si="130"/>
        <v>0</v>
      </c>
      <c r="E683" s="287"/>
      <c r="F683" s="287"/>
      <c r="G683" s="287"/>
      <c r="H683" s="287"/>
      <c r="I683" s="302"/>
      <c r="J683" s="303">
        <f t="shared" si="135"/>
        <v>0</v>
      </c>
    </row>
    <row r="684" s="106" customFormat="1" ht="20.1" customHeight="1" spans="1:10">
      <c r="A684" s="279" t="s">
        <v>2498</v>
      </c>
      <c r="B684" s="334" t="s">
        <v>2499</v>
      </c>
      <c r="C684" s="287">
        <v>38</v>
      </c>
      <c r="D684" s="288">
        <f t="shared" si="130"/>
        <v>57</v>
      </c>
      <c r="E684" s="287"/>
      <c r="F684" s="287"/>
      <c r="G684" s="287"/>
      <c r="H684" s="287"/>
      <c r="I684" s="302">
        <v>57</v>
      </c>
      <c r="J684" s="303">
        <f t="shared" si="135"/>
        <v>150</v>
      </c>
    </row>
    <row r="685" s="106" customFormat="1" ht="20.1" customHeight="1" spans="1:10">
      <c r="A685" s="279" t="s">
        <v>2500</v>
      </c>
      <c r="B685" s="334" t="s">
        <v>2501</v>
      </c>
      <c r="C685" s="287"/>
      <c r="D685" s="288">
        <f t="shared" si="130"/>
        <v>0</v>
      </c>
      <c r="E685" s="287"/>
      <c r="F685" s="287"/>
      <c r="G685" s="287"/>
      <c r="H685" s="287"/>
      <c r="I685" s="302"/>
      <c r="J685" s="303">
        <f t="shared" si="135"/>
        <v>0</v>
      </c>
    </row>
    <row r="686" s="106" customFormat="1" ht="20.1" customHeight="1" spans="1:10">
      <c r="A686" s="279" t="s">
        <v>2502</v>
      </c>
      <c r="B686" s="334" t="s">
        <v>1553</v>
      </c>
      <c r="C686" s="287">
        <v>5</v>
      </c>
      <c r="D686" s="288">
        <f t="shared" si="130"/>
        <v>0</v>
      </c>
      <c r="E686" s="287"/>
      <c r="F686" s="287"/>
      <c r="G686" s="287"/>
      <c r="H686" s="287"/>
      <c r="I686" s="302"/>
      <c r="J686" s="303"/>
    </row>
    <row r="687" s="106" customFormat="1" ht="20.1" customHeight="1" spans="1:10">
      <c r="A687" s="279" t="s">
        <v>2503</v>
      </c>
      <c r="B687" s="334" t="s">
        <v>1476</v>
      </c>
      <c r="C687" s="287">
        <v>15</v>
      </c>
      <c r="D687" s="288">
        <f t="shared" si="130"/>
        <v>6</v>
      </c>
      <c r="E687" s="287"/>
      <c r="F687" s="287"/>
      <c r="G687" s="287"/>
      <c r="H687" s="287"/>
      <c r="I687" s="302">
        <v>6</v>
      </c>
      <c r="J687" s="303">
        <f t="shared" ref="J687:J711" si="144">ROUND(IF(C687=0,IF(D687=0,0,1),IF(D687=0,-1,D687/C687)),4)*100</f>
        <v>40</v>
      </c>
    </row>
    <row r="688" s="106" customFormat="1" ht="20.1" customHeight="1" spans="1:10">
      <c r="A688" s="279" t="s">
        <v>2504</v>
      </c>
      <c r="B688" s="334" t="s">
        <v>2505</v>
      </c>
      <c r="C688" s="287">
        <v>20</v>
      </c>
      <c r="D688" s="288">
        <f t="shared" si="130"/>
        <v>15</v>
      </c>
      <c r="E688" s="287"/>
      <c r="F688" s="287"/>
      <c r="G688" s="287"/>
      <c r="H688" s="287"/>
      <c r="I688" s="302">
        <v>15</v>
      </c>
      <c r="J688" s="303">
        <f t="shared" si="144"/>
        <v>75</v>
      </c>
    </row>
    <row r="689" s="106" customFormat="1" ht="20.1" customHeight="1" spans="1:10">
      <c r="A689" s="283" t="s">
        <v>676</v>
      </c>
      <c r="B689" s="323" t="s">
        <v>2506</v>
      </c>
      <c r="C689" s="285">
        <f t="shared" ref="C689:I689" si="145">SUM(C690:C691)</f>
        <v>784</v>
      </c>
      <c r="D689" s="285">
        <f t="shared" si="130"/>
        <v>1616</v>
      </c>
      <c r="E689" s="285">
        <f t="shared" si="145"/>
        <v>152</v>
      </c>
      <c r="F689" s="285">
        <f t="shared" si="145"/>
        <v>0</v>
      </c>
      <c r="G689" s="285">
        <f t="shared" si="145"/>
        <v>95</v>
      </c>
      <c r="H689" s="285">
        <f t="shared" si="145"/>
        <v>85</v>
      </c>
      <c r="I689" s="285">
        <f t="shared" si="145"/>
        <v>1284</v>
      </c>
      <c r="J689" s="324"/>
    </row>
    <row r="690" s="107" customFormat="1" ht="20.1" customHeight="1" spans="1:10">
      <c r="A690" s="335" t="s">
        <v>2507</v>
      </c>
      <c r="B690" s="336" t="s">
        <v>2508</v>
      </c>
      <c r="C690" s="287">
        <v>288</v>
      </c>
      <c r="D690" s="288">
        <f t="shared" si="130"/>
        <v>300</v>
      </c>
      <c r="E690" s="287"/>
      <c r="F690" s="287"/>
      <c r="G690" s="287">
        <v>95</v>
      </c>
      <c r="H690" s="287">
        <v>10</v>
      </c>
      <c r="I690" s="302">
        <v>195</v>
      </c>
      <c r="J690" s="303"/>
    </row>
    <row r="691" s="106" customFormat="1" ht="20.1" customHeight="1" spans="1:10">
      <c r="A691" s="335" t="s">
        <v>2509</v>
      </c>
      <c r="B691" s="336" t="s">
        <v>2510</v>
      </c>
      <c r="C691" s="287">
        <v>496</v>
      </c>
      <c r="D691" s="288">
        <f t="shared" si="130"/>
        <v>1316</v>
      </c>
      <c r="E691" s="287">
        <v>152</v>
      </c>
      <c r="F691" s="287"/>
      <c r="G691" s="287"/>
      <c r="H691" s="287">
        <v>75</v>
      </c>
      <c r="I691" s="302">
        <v>1089</v>
      </c>
      <c r="J691" s="303"/>
    </row>
    <row r="692" s="106" customFormat="1" ht="20.1" customHeight="1" spans="1:10">
      <c r="A692" s="283" t="s">
        <v>678</v>
      </c>
      <c r="B692" s="323" t="s">
        <v>2511</v>
      </c>
      <c r="C692" s="285">
        <f t="shared" ref="C692:I692" si="146">SUM(C693)</f>
        <v>2170</v>
      </c>
      <c r="D692" s="285">
        <f t="shared" si="130"/>
        <v>389</v>
      </c>
      <c r="E692" s="285">
        <f t="shared" si="146"/>
        <v>17</v>
      </c>
      <c r="F692" s="285">
        <f t="shared" si="146"/>
        <v>0</v>
      </c>
      <c r="G692" s="285">
        <f t="shared" si="146"/>
        <v>215</v>
      </c>
      <c r="H692" s="285">
        <f t="shared" si="146"/>
        <v>0</v>
      </c>
      <c r="I692" s="285">
        <f t="shared" si="146"/>
        <v>157</v>
      </c>
      <c r="J692" s="324">
        <f t="shared" si="144"/>
        <v>17.93</v>
      </c>
    </row>
    <row r="693" s="107" customFormat="1" ht="20.1" customHeight="1" spans="1:10">
      <c r="A693" s="690" t="s">
        <v>2512</v>
      </c>
      <c r="B693" s="41" t="s">
        <v>2513</v>
      </c>
      <c r="C693" s="287">
        <v>2170</v>
      </c>
      <c r="D693" s="288">
        <f t="shared" si="130"/>
        <v>389</v>
      </c>
      <c r="E693" s="287">
        <v>17</v>
      </c>
      <c r="F693" s="287"/>
      <c r="G693" s="287">
        <v>215</v>
      </c>
      <c r="H693" s="287"/>
      <c r="I693" s="302">
        <v>157</v>
      </c>
      <c r="J693" s="303">
        <f t="shared" si="144"/>
        <v>17.93</v>
      </c>
    </row>
    <row r="694" s="106" customFormat="1" ht="20.1" customHeight="1" spans="1:10">
      <c r="A694" s="280" t="s">
        <v>680</v>
      </c>
      <c r="B694" s="281" t="s">
        <v>681</v>
      </c>
      <c r="C694" s="282">
        <f t="shared" ref="C694:I694" si="147">C695+C700+C715+C719+C760+C731+C735+C740+C744+C748+C751+C776+C767+C772</f>
        <v>29027</v>
      </c>
      <c r="D694" s="282">
        <f t="shared" si="130"/>
        <v>27991</v>
      </c>
      <c r="E694" s="282">
        <f t="shared" si="147"/>
        <v>9905</v>
      </c>
      <c r="F694" s="282">
        <f t="shared" si="147"/>
        <v>0</v>
      </c>
      <c r="G694" s="282">
        <f t="shared" si="147"/>
        <v>2394</v>
      </c>
      <c r="H694" s="282">
        <f t="shared" si="147"/>
        <v>1158</v>
      </c>
      <c r="I694" s="282">
        <f t="shared" si="147"/>
        <v>14534</v>
      </c>
      <c r="J694" s="296">
        <f t="shared" si="144"/>
        <v>96.43</v>
      </c>
    </row>
    <row r="695" s="107" customFormat="1" ht="20.1" customHeight="1" spans="1:10">
      <c r="A695" s="283" t="s">
        <v>682</v>
      </c>
      <c r="B695" s="323" t="s">
        <v>2514</v>
      </c>
      <c r="C695" s="285">
        <f t="shared" ref="C695:I695" si="148">SUM(C696:C699)</f>
        <v>543</v>
      </c>
      <c r="D695" s="285">
        <f t="shared" si="130"/>
        <v>552</v>
      </c>
      <c r="E695" s="285">
        <f t="shared" si="148"/>
        <v>0</v>
      </c>
      <c r="F695" s="285">
        <f t="shared" si="148"/>
        <v>0</v>
      </c>
      <c r="G695" s="285">
        <f t="shared" si="148"/>
        <v>0</v>
      </c>
      <c r="H695" s="285">
        <f t="shared" si="148"/>
        <v>0</v>
      </c>
      <c r="I695" s="285">
        <f t="shared" si="148"/>
        <v>552</v>
      </c>
      <c r="J695" s="324">
        <f t="shared" si="144"/>
        <v>101.66</v>
      </c>
    </row>
    <row r="696" s="107" customFormat="1" ht="20.1" customHeight="1" spans="1:10">
      <c r="A696" s="279" t="s">
        <v>2515</v>
      </c>
      <c r="B696" s="41" t="s">
        <v>1458</v>
      </c>
      <c r="C696" s="287">
        <v>256</v>
      </c>
      <c r="D696" s="288">
        <f t="shared" si="130"/>
        <v>258</v>
      </c>
      <c r="E696" s="287"/>
      <c r="F696" s="287"/>
      <c r="G696" s="287"/>
      <c r="H696" s="287"/>
      <c r="I696" s="302">
        <v>258</v>
      </c>
      <c r="J696" s="303">
        <f t="shared" si="144"/>
        <v>100.78</v>
      </c>
    </row>
    <row r="697" s="106" customFormat="1" ht="20.1" customHeight="1" spans="1:10">
      <c r="A697" s="279" t="s">
        <v>2516</v>
      </c>
      <c r="B697" s="41" t="s">
        <v>1460</v>
      </c>
      <c r="C697" s="287">
        <v>33</v>
      </c>
      <c r="D697" s="288">
        <f t="shared" ref="D697:D760" si="149">SUM(E697:I697)</f>
        <v>40</v>
      </c>
      <c r="E697" s="287"/>
      <c r="F697" s="287"/>
      <c r="G697" s="287"/>
      <c r="H697" s="287"/>
      <c r="I697" s="302">
        <v>40</v>
      </c>
      <c r="J697" s="303">
        <f t="shared" si="144"/>
        <v>121.21</v>
      </c>
    </row>
    <row r="698" s="106" customFormat="1" ht="20.1" customHeight="1" spans="1:10">
      <c r="A698" s="279" t="s">
        <v>2517</v>
      </c>
      <c r="B698" s="41" t="s">
        <v>1462</v>
      </c>
      <c r="C698" s="287"/>
      <c r="D698" s="288">
        <f t="shared" si="149"/>
        <v>0</v>
      </c>
      <c r="E698" s="287"/>
      <c r="F698" s="287"/>
      <c r="G698" s="287"/>
      <c r="H698" s="287"/>
      <c r="I698" s="302"/>
      <c r="J698" s="303">
        <f t="shared" si="144"/>
        <v>0</v>
      </c>
    </row>
    <row r="699" s="106" customFormat="1" ht="20.1" customHeight="1" spans="1:10">
      <c r="A699" s="279" t="s">
        <v>2518</v>
      </c>
      <c r="B699" s="41" t="s">
        <v>2519</v>
      </c>
      <c r="C699" s="287">
        <v>254</v>
      </c>
      <c r="D699" s="288">
        <f t="shared" si="149"/>
        <v>254</v>
      </c>
      <c r="E699" s="287"/>
      <c r="F699" s="287"/>
      <c r="G699" s="287"/>
      <c r="H699" s="287"/>
      <c r="I699" s="302">
        <v>254</v>
      </c>
      <c r="J699" s="303">
        <f t="shared" si="144"/>
        <v>100</v>
      </c>
    </row>
    <row r="700" s="106" customFormat="1" ht="20.1" customHeight="1" spans="1:10">
      <c r="A700" s="283" t="s">
        <v>684</v>
      </c>
      <c r="B700" s="323" t="s">
        <v>2520</v>
      </c>
      <c r="C700" s="285">
        <f t="shared" ref="C700:I700" si="150">SUM(C701:C714)</f>
        <v>2238</v>
      </c>
      <c r="D700" s="285">
        <f t="shared" si="149"/>
        <v>2351</v>
      </c>
      <c r="E700" s="285">
        <f t="shared" si="150"/>
        <v>0</v>
      </c>
      <c r="F700" s="285">
        <f t="shared" si="150"/>
        <v>0</v>
      </c>
      <c r="G700" s="285">
        <f t="shared" si="150"/>
        <v>248</v>
      </c>
      <c r="H700" s="285">
        <f t="shared" si="150"/>
        <v>0</v>
      </c>
      <c r="I700" s="285">
        <f t="shared" si="150"/>
        <v>2103</v>
      </c>
      <c r="J700" s="324">
        <f t="shared" si="144"/>
        <v>105.05</v>
      </c>
    </row>
    <row r="701" s="107" customFormat="1" ht="20.1" customHeight="1" spans="1:10">
      <c r="A701" s="279" t="s">
        <v>2521</v>
      </c>
      <c r="B701" s="41" t="s">
        <v>2522</v>
      </c>
      <c r="C701" s="287">
        <v>1121</v>
      </c>
      <c r="D701" s="288">
        <f t="shared" si="149"/>
        <v>1262</v>
      </c>
      <c r="E701" s="287"/>
      <c r="F701" s="287"/>
      <c r="G701" s="287"/>
      <c r="H701" s="287"/>
      <c r="I701" s="302">
        <v>1262</v>
      </c>
      <c r="J701" s="303">
        <f t="shared" si="144"/>
        <v>112.58</v>
      </c>
    </row>
    <row r="702" s="106" customFormat="1" ht="20.1" customHeight="1" spans="1:10">
      <c r="A702" s="279" t="s">
        <v>2523</v>
      </c>
      <c r="B702" s="41" t="s">
        <v>2524</v>
      </c>
      <c r="C702" s="287">
        <v>1107</v>
      </c>
      <c r="D702" s="288">
        <f t="shared" si="149"/>
        <v>840</v>
      </c>
      <c r="E702" s="287"/>
      <c r="F702" s="287"/>
      <c r="G702" s="287"/>
      <c r="H702" s="287"/>
      <c r="I702" s="302">
        <v>840</v>
      </c>
      <c r="J702" s="303">
        <f t="shared" si="144"/>
        <v>75.88</v>
      </c>
    </row>
    <row r="703" s="106" customFormat="1" ht="20.1" customHeight="1" spans="1:10">
      <c r="A703" s="279" t="s">
        <v>2525</v>
      </c>
      <c r="B703" s="41" t="s">
        <v>2526</v>
      </c>
      <c r="C703" s="287"/>
      <c r="D703" s="288">
        <f t="shared" si="149"/>
        <v>0</v>
      </c>
      <c r="E703" s="287"/>
      <c r="F703" s="287"/>
      <c r="G703" s="287"/>
      <c r="H703" s="287"/>
      <c r="I703" s="302"/>
      <c r="J703" s="303">
        <f t="shared" si="144"/>
        <v>0</v>
      </c>
    </row>
    <row r="704" s="106" customFormat="1" ht="20.1" customHeight="1" spans="1:10">
      <c r="A704" s="279" t="s">
        <v>2527</v>
      </c>
      <c r="B704" s="41" t="s">
        <v>2528</v>
      </c>
      <c r="C704" s="287"/>
      <c r="D704" s="288">
        <f t="shared" si="149"/>
        <v>0</v>
      </c>
      <c r="E704" s="287"/>
      <c r="F704" s="287"/>
      <c r="G704" s="287"/>
      <c r="H704" s="287"/>
      <c r="I704" s="302"/>
      <c r="J704" s="303">
        <f t="shared" si="144"/>
        <v>0</v>
      </c>
    </row>
    <row r="705" s="106" customFormat="1" ht="20.1" customHeight="1" spans="1:10">
      <c r="A705" s="279" t="s">
        <v>2529</v>
      </c>
      <c r="B705" s="41" t="s">
        <v>2530</v>
      </c>
      <c r="C705" s="287"/>
      <c r="D705" s="288">
        <f t="shared" si="149"/>
        <v>0</v>
      </c>
      <c r="E705" s="287"/>
      <c r="F705" s="287"/>
      <c r="G705" s="287"/>
      <c r="H705" s="287"/>
      <c r="I705" s="302"/>
      <c r="J705" s="303">
        <f t="shared" si="144"/>
        <v>0</v>
      </c>
    </row>
    <row r="706" s="266" customFormat="1" ht="20.1" customHeight="1" spans="1:10">
      <c r="A706" s="279" t="s">
        <v>2531</v>
      </c>
      <c r="B706" s="41" t="s">
        <v>2532</v>
      </c>
      <c r="C706" s="287"/>
      <c r="D706" s="288">
        <f t="shared" si="149"/>
        <v>0</v>
      </c>
      <c r="E706" s="287"/>
      <c r="F706" s="287"/>
      <c r="G706" s="287"/>
      <c r="H706" s="287"/>
      <c r="I706" s="302"/>
      <c r="J706" s="303">
        <f t="shared" si="144"/>
        <v>0</v>
      </c>
    </row>
    <row r="707" s="266" customFormat="1" ht="20.1" customHeight="1" spans="1:10">
      <c r="A707" s="279" t="s">
        <v>2533</v>
      </c>
      <c r="B707" s="41" t="s">
        <v>2534</v>
      </c>
      <c r="C707" s="287"/>
      <c r="D707" s="288">
        <f t="shared" si="149"/>
        <v>0</v>
      </c>
      <c r="E707" s="287"/>
      <c r="F707" s="287"/>
      <c r="G707" s="287"/>
      <c r="H707" s="287"/>
      <c r="I707" s="302"/>
      <c r="J707" s="303">
        <f t="shared" si="144"/>
        <v>0</v>
      </c>
    </row>
    <row r="708" s="266" customFormat="1" ht="20.1" customHeight="1" spans="1:10">
      <c r="A708" s="279" t="s">
        <v>2535</v>
      </c>
      <c r="B708" s="41" t="s">
        <v>2536</v>
      </c>
      <c r="C708" s="287"/>
      <c r="D708" s="288">
        <f t="shared" si="149"/>
        <v>0</v>
      </c>
      <c r="E708" s="287"/>
      <c r="F708" s="287"/>
      <c r="G708" s="287"/>
      <c r="H708" s="287"/>
      <c r="I708" s="302"/>
      <c r="J708" s="303">
        <f t="shared" si="144"/>
        <v>0</v>
      </c>
    </row>
    <row r="709" s="106" customFormat="1" ht="20.1" customHeight="1" spans="1:10">
      <c r="A709" s="279" t="s">
        <v>2537</v>
      </c>
      <c r="B709" s="41" t="s">
        <v>2538</v>
      </c>
      <c r="C709" s="287"/>
      <c r="D709" s="288">
        <f t="shared" si="149"/>
        <v>0</v>
      </c>
      <c r="E709" s="287"/>
      <c r="F709" s="287"/>
      <c r="G709" s="287"/>
      <c r="H709" s="287"/>
      <c r="I709" s="302"/>
      <c r="J709" s="303">
        <f t="shared" si="144"/>
        <v>0</v>
      </c>
    </row>
    <row r="710" s="106" customFormat="1" ht="20.1" customHeight="1" spans="1:10">
      <c r="A710" s="279" t="s">
        <v>2539</v>
      </c>
      <c r="B710" s="41" t="s">
        <v>2540</v>
      </c>
      <c r="C710" s="287"/>
      <c r="D710" s="288">
        <f t="shared" si="149"/>
        <v>0</v>
      </c>
      <c r="E710" s="287"/>
      <c r="F710" s="287"/>
      <c r="G710" s="287"/>
      <c r="H710" s="287"/>
      <c r="I710" s="302"/>
      <c r="J710" s="303">
        <f t="shared" si="144"/>
        <v>0</v>
      </c>
    </row>
    <row r="711" s="106" customFormat="1" ht="20.1" customHeight="1" spans="1:10">
      <c r="A711" s="279" t="s">
        <v>2541</v>
      </c>
      <c r="B711" s="41" t="s">
        <v>2542</v>
      </c>
      <c r="C711" s="287"/>
      <c r="D711" s="288">
        <f t="shared" si="149"/>
        <v>0</v>
      </c>
      <c r="E711" s="287"/>
      <c r="F711" s="287"/>
      <c r="G711" s="287"/>
      <c r="H711" s="287"/>
      <c r="I711" s="302"/>
      <c r="J711" s="303">
        <f t="shared" si="144"/>
        <v>0</v>
      </c>
    </row>
    <row r="712" s="106" customFormat="1" ht="20.1" customHeight="1" spans="1:10">
      <c r="A712" s="279" t="s">
        <v>2543</v>
      </c>
      <c r="B712" s="41" t="s">
        <v>2544</v>
      </c>
      <c r="C712" s="287"/>
      <c r="D712" s="288">
        <f t="shared" si="149"/>
        <v>0</v>
      </c>
      <c r="E712" s="287"/>
      <c r="F712" s="287"/>
      <c r="G712" s="287"/>
      <c r="H712" s="287"/>
      <c r="I712" s="302"/>
      <c r="J712" s="303"/>
    </row>
    <row r="713" s="106" customFormat="1" ht="20.1" customHeight="1" spans="1:10">
      <c r="A713" s="279" t="s">
        <v>2545</v>
      </c>
      <c r="B713" s="41" t="s">
        <v>2546</v>
      </c>
      <c r="C713" s="287"/>
      <c r="D713" s="288">
        <f t="shared" si="149"/>
        <v>0</v>
      </c>
      <c r="E713" s="287"/>
      <c r="F713" s="287"/>
      <c r="G713" s="287"/>
      <c r="H713" s="287"/>
      <c r="I713" s="302"/>
      <c r="J713" s="303"/>
    </row>
    <row r="714" s="106" customFormat="1" ht="20.1" customHeight="1" spans="1:10">
      <c r="A714" s="279" t="s">
        <v>2547</v>
      </c>
      <c r="B714" s="41" t="s">
        <v>2548</v>
      </c>
      <c r="C714" s="287">
        <v>10</v>
      </c>
      <c r="D714" s="288">
        <f t="shared" si="149"/>
        <v>249</v>
      </c>
      <c r="E714" s="287"/>
      <c r="F714" s="287"/>
      <c r="G714" s="287">
        <v>248</v>
      </c>
      <c r="H714" s="287"/>
      <c r="I714" s="302">
        <v>1</v>
      </c>
      <c r="J714" s="303">
        <f t="shared" ref="J714:J761" si="151">ROUND(IF(C714=0,IF(D714=0,0,1),IF(D714=0,-1,D714/C714)),4)*100</f>
        <v>2490</v>
      </c>
    </row>
    <row r="715" s="106" customFormat="1" ht="20.1" customHeight="1" spans="1:10">
      <c r="A715" s="283" t="s">
        <v>686</v>
      </c>
      <c r="B715" s="323" t="s">
        <v>2549</v>
      </c>
      <c r="C715" s="285">
        <f t="shared" ref="C715:I715" si="152">SUM(C716:C718)</f>
        <v>5246</v>
      </c>
      <c r="D715" s="285">
        <f t="shared" si="149"/>
        <v>4775</v>
      </c>
      <c r="E715" s="285">
        <f t="shared" si="152"/>
        <v>815</v>
      </c>
      <c r="F715" s="285">
        <f t="shared" si="152"/>
        <v>0</v>
      </c>
      <c r="G715" s="285">
        <f t="shared" si="152"/>
        <v>294</v>
      </c>
      <c r="H715" s="285">
        <f t="shared" si="152"/>
        <v>0</v>
      </c>
      <c r="I715" s="285">
        <f t="shared" si="152"/>
        <v>3666</v>
      </c>
      <c r="J715" s="324">
        <f t="shared" si="151"/>
        <v>91.02</v>
      </c>
    </row>
    <row r="716" s="107" customFormat="1" ht="20.1" customHeight="1" spans="1:10">
      <c r="A716" s="279" t="s">
        <v>2550</v>
      </c>
      <c r="B716" s="41" t="s">
        <v>2551</v>
      </c>
      <c r="C716" s="287"/>
      <c r="D716" s="288">
        <f t="shared" si="149"/>
        <v>0</v>
      </c>
      <c r="E716" s="287"/>
      <c r="F716" s="287"/>
      <c r="G716" s="287"/>
      <c r="H716" s="287"/>
      <c r="I716" s="302"/>
      <c r="J716" s="303">
        <f t="shared" si="151"/>
        <v>0</v>
      </c>
    </row>
    <row r="717" s="266" customFormat="1" ht="20.1" customHeight="1" spans="1:10">
      <c r="A717" s="279" t="s">
        <v>2552</v>
      </c>
      <c r="B717" s="41" t="s">
        <v>2553</v>
      </c>
      <c r="C717" s="287">
        <v>3301</v>
      </c>
      <c r="D717" s="288">
        <f t="shared" si="149"/>
        <v>3490</v>
      </c>
      <c r="E717" s="287">
        <v>329</v>
      </c>
      <c r="F717" s="287"/>
      <c r="G717" s="287">
        <v>3</v>
      </c>
      <c r="H717" s="287"/>
      <c r="I717" s="302">
        <v>3158</v>
      </c>
      <c r="J717" s="303">
        <f t="shared" si="151"/>
        <v>105.73</v>
      </c>
    </row>
    <row r="718" s="266" customFormat="1" ht="20.1" customHeight="1" spans="1:10">
      <c r="A718" s="279" t="s">
        <v>2554</v>
      </c>
      <c r="B718" s="41" t="s">
        <v>2555</v>
      </c>
      <c r="C718" s="287">
        <v>1945</v>
      </c>
      <c r="D718" s="288">
        <f t="shared" si="149"/>
        <v>1285</v>
      </c>
      <c r="E718" s="287">
        <v>486</v>
      </c>
      <c r="F718" s="287"/>
      <c r="G718" s="287">
        <v>291</v>
      </c>
      <c r="H718" s="287"/>
      <c r="I718" s="302">
        <v>508</v>
      </c>
      <c r="J718" s="303">
        <f t="shared" si="151"/>
        <v>66.07</v>
      </c>
    </row>
    <row r="719" s="266" customFormat="1" ht="20.1" customHeight="1" spans="1:10">
      <c r="A719" s="283" t="s">
        <v>688</v>
      </c>
      <c r="B719" s="323" t="s">
        <v>2556</v>
      </c>
      <c r="C719" s="285">
        <f t="shared" ref="C719:I719" si="153">SUM(C720:C730)</f>
        <v>5921</v>
      </c>
      <c r="D719" s="285">
        <f t="shared" si="149"/>
        <v>4895</v>
      </c>
      <c r="E719" s="285">
        <f t="shared" si="153"/>
        <v>3073</v>
      </c>
      <c r="F719" s="285">
        <f t="shared" si="153"/>
        <v>0</v>
      </c>
      <c r="G719" s="285">
        <f t="shared" si="153"/>
        <v>189</v>
      </c>
      <c r="H719" s="285">
        <f t="shared" si="153"/>
        <v>8</v>
      </c>
      <c r="I719" s="285">
        <f t="shared" si="153"/>
        <v>1625</v>
      </c>
      <c r="J719" s="324">
        <f t="shared" si="151"/>
        <v>82.67</v>
      </c>
    </row>
    <row r="720" s="107" customFormat="1" ht="20.1" customHeight="1" spans="1:10">
      <c r="A720" s="279" t="s">
        <v>2557</v>
      </c>
      <c r="B720" s="41" t="s">
        <v>2558</v>
      </c>
      <c r="C720" s="287">
        <v>587</v>
      </c>
      <c r="D720" s="288">
        <f t="shared" si="149"/>
        <v>473</v>
      </c>
      <c r="E720" s="287"/>
      <c r="F720" s="287"/>
      <c r="G720" s="287"/>
      <c r="H720" s="287"/>
      <c r="I720" s="302">
        <v>473</v>
      </c>
      <c r="J720" s="303">
        <f t="shared" si="151"/>
        <v>80.58</v>
      </c>
    </row>
    <row r="721" s="266" customFormat="1" ht="20.1" customHeight="1" spans="1:10">
      <c r="A721" s="279" t="s">
        <v>2559</v>
      </c>
      <c r="B721" s="41" t="s">
        <v>2560</v>
      </c>
      <c r="C721" s="287">
        <v>62</v>
      </c>
      <c r="D721" s="288">
        <f t="shared" si="149"/>
        <v>7</v>
      </c>
      <c r="E721" s="287"/>
      <c r="F721" s="287"/>
      <c r="G721" s="287">
        <v>3</v>
      </c>
      <c r="H721" s="287"/>
      <c r="I721" s="302">
        <v>4</v>
      </c>
      <c r="J721" s="303">
        <f t="shared" si="151"/>
        <v>11.29</v>
      </c>
    </row>
    <row r="722" s="266" customFormat="1" ht="20.1" customHeight="1" spans="1:10">
      <c r="A722" s="279" t="s">
        <v>2561</v>
      </c>
      <c r="B722" s="41" t="s">
        <v>2562</v>
      </c>
      <c r="C722" s="287">
        <v>960</v>
      </c>
      <c r="D722" s="288">
        <f t="shared" si="149"/>
        <v>947</v>
      </c>
      <c r="E722" s="287"/>
      <c r="F722" s="287"/>
      <c r="G722" s="287"/>
      <c r="H722" s="287"/>
      <c r="I722" s="302">
        <v>947</v>
      </c>
      <c r="J722" s="303">
        <f t="shared" si="151"/>
        <v>98.65</v>
      </c>
    </row>
    <row r="723" s="266" customFormat="1" ht="20.1" customHeight="1" spans="1:10">
      <c r="A723" s="279" t="s">
        <v>2563</v>
      </c>
      <c r="B723" s="41" t="s">
        <v>2564</v>
      </c>
      <c r="C723" s="287"/>
      <c r="D723" s="288">
        <f t="shared" si="149"/>
        <v>0</v>
      </c>
      <c r="E723" s="287"/>
      <c r="F723" s="287"/>
      <c r="G723" s="287"/>
      <c r="H723" s="287"/>
      <c r="I723" s="302"/>
      <c r="J723" s="303">
        <f t="shared" si="151"/>
        <v>0</v>
      </c>
    </row>
    <row r="724" s="266" customFormat="1" ht="20.1" customHeight="1" spans="1:10">
      <c r="A724" s="279" t="s">
        <v>2565</v>
      </c>
      <c r="B724" s="41" t="s">
        <v>2566</v>
      </c>
      <c r="C724" s="287"/>
      <c r="D724" s="288">
        <f t="shared" si="149"/>
        <v>0</v>
      </c>
      <c r="E724" s="287"/>
      <c r="F724" s="287"/>
      <c r="G724" s="287"/>
      <c r="H724" s="287"/>
      <c r="I724" s="302"/>
      <c r="J724" s="303">
        <f t="shared" si="151"/>
        <v>0</v>
      </c>
    </row>
    <row r="725" s="266" customFormat="1" ht="20.1" customHeight="1" spans="1:10">
      <c r="A725" s="279" t="s">
        <v>2567</v>
      </c>
      <c r="B725" s="41" t="s">
        <v>2568</v>
      </c>
      <c r="C725" s="287"/>
      <c r="D725" s="288">
        <f t="shared" si="149"/>
        <v>0</v>
      </c>
      <c r="E725" s="287"/>
      <c r="F725" s="287"/>
      <c r="G725" s="287"/>
      <c r="H725" s="287"/>
      <c r="I725" s="302"/>
      <c r="J725" s="303">
        <f t="shared" si="151"/>
        <v>0</v>
      </c>
    </row>
    <row r="726" s="106" customFormat="1" ht="20.1" customHeight="1" spans="1:10">
      <c r="A726" s="279" t="s">
        <v>2569</v>
      </c>
      <c r="B726" s="41" t="s">
        <v>2570</v>
      </c>
      <c r="C726" s="287"/>
      <c r="D726" s="288">
        <f t="shared" si="149"/>
        <v>0</v>
      </c>
      <c r="E726" s="287"/>
      <c r="F726" s="287"/>
      <c r="G726" s="287"/>
      <c r="H726" s="287"/>
      <c r="I726" s="302"/>
      <c r="J726" s="303">
        <f t="shared" si="151"/>
        <v>0</v>
      </c>
    </row>
    <row r="727" s="106" customFormat="1" ht="20.1" customHeight="1" spans="1:10">
      <c r="A727" s="279" t="s">
        <v>2571</v>
      </c>
      <c r="B727" s="41" t="s">
        <v>2572</v>
      </c>
      <c r="C727" s="287">
        <v>3535</v>
      </c>
      <c r="D727" s="288">
        <f t="shared" si="149"/>
        <v>2929</v>
      </c>
      <c r="E727" s="287">
        <v>2692</v>
      </c>
      <c r="F727" s="287"/>
      <c r="G727" s="287">
        <v>68</v>
      </c>
      <c r="H727" s="287">
        <v>8</v>
      </c>
      <c r="I727" s="302">
        <v>161</v>
      </c>
      <c r="J727" s="303">
        <f t="shared" si="151"/>
        <v>82.86</v>
      </c>
    </row>
    <row r="728" s="106" customFormat="1" ht="20.1" customHeight="1" spans="1:10">
      <c r="A728" s="279" t="s">
        <v>2573</v>
      </c>
      <c r="B728" s="41" t="s">
        <v>2574</v>
      </c>
      <c r="C728" s="287">
        <v>458</v>
      </c>
      <c r="D728" s="288">
        <f t="shared" si="149"/>
        <v>324</v>
      </c>
      <c r="E728" s="287">
        <v>221</v>
      </c>
      <c r="F728" s="287"/>
      <c r="G728" s="287">
        <v>63</v>
      </c>
      <c r="H728" s="287"/>
      <c r="I728" s="302">
        <v>40</v>
      </c>
      <c r="J728" s="303">
        <f t="shared" si="151"/>
        <v>70.74</v>
      </c>
    </row>
    <row r="729" s="106" customFormat="1" ht="20.1" customHeight="1" spans="1:10">
      <c r="A729" s="279" t="s">
        <v>2575</v>
      </c>
      <c r="B729" s="41" t="s">
        <v>2576</v>
      </c>
      <c r="C729" s="287">
        <v>20</v>
      </c>
      <c r="D729" s="288">
        <f t="shared" si="149"/>
        <v>0</v>
      </c>
      <c r="E729" s="287"/>
      <c r="F729" s="287"/>
      <c r="G729" s="287"/>
      <c r="H729" s="287"/>
      <c r="I729" s="302"/>
      <c r="J729" s="303">
        <f t="shared" si="151"/>
        <v>-100</v>
      </c>
    </row>
    <row r="730" s="106" customFormat="1" ht="20.1" customHeight="1" spans="1:10">
      <c r="A730" s="279" t="s">
        <v>2577</v>
      </c>
      <c r="B730" s="41" t="s">
        <v>2578</v>
      </c>
      <c r="C730" s="287">
        <v>299</v>
      </c>
      <c r="D730" s="288">
        <f t="shared" si="149"/>
        <v>215</v>
      </c>
      <c r="E730" s="287">
        <v>160</v>
      </c>
      <c r="F730" s="287"/>
      <c r="G730" s="287">
        <v>55</v>
      </c>
      <c r="H730" s="287"/>
      <c r="I730" s="302"/>
      <c r="J730" s="303">
        <f t="shared" si="151"/>
        <v>71.91</v>
      </c>
    </row>
    <row r="731" s="106" customFormat="1" ht="20.1" customHeight="1" spans="1:10">
      <c r="A731" s="283" t="s">
        <v>690</v>
      </c>
      <c r="B731" s="323" t="s">
        <v>2579</v>
      </c>
      <c r="C731" s="285">
        <f t="shared" ref="C731:I731" si="154">SUM(C732:C734)</f>
        <v>1656</v>
      </c>
      <c r="D731" s="285">
        <f t="shared" si="149"/>
        <v>1755</v>
      </c>
      <c r="E731" s="285">
        <f t="shared" si="154"/>
        <v>793</v>
      </c>
      <c r="F731" s="285">
        <f t="shared" si="154"/>
        <v>0</v>
      </c>
      <c r="G731" s="285">
        <f t="shared" si="154"/>
        <v>7</v>
      </c>
      <c r="H731" s="285">
        <f t="shared" si="154"/>
        <v>0</v>
      </c>
      <c r="I731" s="285">
        <f t="shared" si="154"/>
        <v>955</v>
      </c>
      <c r="J731" s="324">
        <f t="shared" si="151"/>
        <v>105.98</v>
      </c>
    </row>
    <row r="732" s="107" customFormat="1" ht="20.1" customHeight="1" spans="1:10">
      <c r="A732" s="279" t="s">
        <v>2580</v>
      </c>
      <c r="B732" s="41" t="s">
        <v>2581</v>
      </c>
      <c r="C732" s="287"/>
      <c r="D732" s="288">
        <f t="shared" si="149"/>
        <v>0</v>
      </c>
      <c r="E732" s="287"/>
      <c r="F732" s="287"/>
      <c r="G732" s="287"/>
      <c r="H732" s="287"/>
      <c r="I732" s="302"/>
      <c r="J732" s="303">
        <f t="shared" si="151"/>
        <v>0</v>
      </c>
    </row>
    <row r="733" s="106" customFormat="1" ht="20.1" customHeight="1" spans="1:10">
      <c r="A733" s="279" t="s">
        <v>2582</v>
      </c>
      <c r="B733" s="41" t="s">
        <v>2583</v>
      </c>
      <c r="C733" s="287">
        <v>87</v>
      </c>
      <c r="D733" s="288">
        <f t="shared" si="149"/>
        <v>892</v>
      </c>
      <c r="E733" s="287">
        <v>793</v>
      </c>
      <c r="F733" s="287"/>
      <c r="G733" s="287"/>
      <c r="H733" s="287"/>
      <c r="I733" s="302">
        <v>99</v>
      </c>
      <c r="J733" s="303">
        <f t="shared" si="151"/>
        <v>1025.29</v>
      </c>
    </row>
    <row r="734" s="106" customFormat="1" ht="20.1" customHeight="1" spans="1:10">
      <c r="A734" s="279" t="s">
        <v>2584</v>
      </c>
      <c r="B734" s="41" t="s">
        <v>2585</v>
      </c>
      <c r="C734" s="287">
        <v>1569</v>
      </c>
      <c r="D734" s="288">
        <f t="shared" si="149"/>
        <v>863</v>
      </c>
      <c r="E734" s="287"/>
      <c r="F734" s="287"/>
      <c r="G734" s="287">
        <v>7</v>
      </c>
      <c r="H734" s="287"/>
      <c r="I734" s="302">
        <v>856</v>
      </c>
      <c r="J734" s="303">
        <f t="shared" si="151"/>
        <v>55</v>
      </c>
    </row>
    <row r="735" s="106" customFormat="1" ht="20.1" customHeight="1" spans="1:10">
      <c r="A735" s="283" t="s">
        <v>692</v>
      </c>
      <c r="B735" s="323" t="s">
        <v>2586</v>
      </c>
      <c r="C735" s="285">
        <f t="shared" ref="C735:I735" si="155">SUM(C736:C739)</f>
        <v>5677</v>
      </c>
      <c r="D735" s="285">
        <f t="shared" si="149"/>
        <v>4221</v>
      </c>
      <c r="E735" s="285">
        <f t="shared" si="155"/>
        <v>0</v>
      </c>
      <c r="F735" s="285">
        <f t="shared" si="155"/>
        <v>0</v>
      </c>
      <c r="G735" s="285">
        <f t="shared" si="155"/>
        <v>0</v>
      </c>
      <c r="H735" s="285">
        <f t="shared" si="155"/>
        <v>0</v>
      </c>
      <c r="I735" s="285">
        <f t="shared" si="155"/>
        <v>4221</v>
      </c>
      <c r="J735" s="324">
        <f t="shared" si="151"/>
        <v>74.35</v>
      </c>
    </row>
    <row r="736" s="107" customFormat="1" ht="20.1" customHeight="1" spans="1:10">
      <c r="A736" s="279" t="s">
        <v>2587</v>
      </c>
      <c r="B736" s="41" t="s">
        <v>2588</v>
      </c>
      <c r="C736" s="287">
        <v>1452</v>
      </c>
      <c r="D736" s="288">
        <f t="shared" si="149"/>
        <v>1530</v>
      </c>
      <c r="E736" s="287"/>
      <c r="F736" s="287"/>
      <c r="G736" s="287"/>
      <c r="H736" s="287"/>
      <c r="I736" s="302">
        <v>1530</v>
      </c>
      <c r="J736" s="303">
        <f t="shared" si="151"/>
        <v>105.37</v>
      </c>
    </row>
    <row r="737" s="106" customFormat="1" ht="20.1" customHeight="1" spans="1:10">
      <c r="A737" s="279" t="s">
        <v>2589</v>
      </c>
      <c r="B737" s="41" t="s">
        <v>2590</v>
      </c>
      <c r="C737" s="287">
        <v>3380</v>
      </c>
      <c r="D737" s="288">
        <f t="shared" si="149"/>
        <v>1175</v>
      </c>
      <c r="E737" s="287"/>
      <c r="F737" s="287"/>
      <c r="G737" s="287"/>
      <c r="H737" s="287"/>
      <c r="I737" s="302">
        <v>1175</v>
      </c>
      <c r="J737" s="303">
        <f t="shared" si="151"/>
        <v>34.76</v>
      </c>
    </row>
    <row r="738" s="106" customFormat="1" ht="20.1" customHeight="1" spans="1:10">
      <c r="A738" s="279" t="s">
        <v>2591</v>
      </c>
      <c r="B738" s="41" t="s">
        <v>2592</v>
      </c>
      <c r="C738" s="287">
        <v>835</v>
      </c>
      <c r="D738" s="288">
        <f t="shared" si="149"/>
        <v>1506</v>
      </c>
      <c r="E738" s="287"/>
      <c r="F738" s="287"/>
      <c r="G738" s="287"/>
      <c r="H738" s="287"/>
      <c r="I738" s="302">
        <v>1506</v>
      </c>
      <c r="J738" s="303">
        <f t="shared" si="151"/>
        <v>180.36</v>
      </c>
    </row>
    <row r="739" s="106" customFormat="1" ht="20.1" customHeight="1" spans="1:10">
      <c r="A739" s="279" t="s">
        <v>2593</v>
      </c>
      <c r="B739" s="41" t="s">
        <v>2594</v>
      </c>
      <c r="C739" s="287">
        <v>10</v>
      </c>
      <c r="D739" s="288">
        <f t="shared" si="149"/>
        <v>10</v>
      </c>
      <c r="E739" s="287"/>
      <c r="F739" s="287"/>
      <c r="G739" s="287"/>
      <c r="H739" s="287"/>
      <c r="I739" s="302">
        <v>10</v>
      </c>
      <c r="J739" s="303">
        <f t="shared" si="151"/>
        <v>100</v>
      </c>
    </row>
    <row r="740" s="106" customFormat="1" ht="20.1" customHeight="1" spans="1:10">
      <c r="A740" s="283" t="s">
        <v>694</v>
      </c>
      <c r="B740" s="323" t="s">
        <v>2595</v>
      </c>
      <c r="C740" s="285">
        <f t="shared" ref="C740:I740" si="156">SUM(C741:C743)</f>
        <v>1100</v>
      </c>
      <c r="D740" s="285">
        <f t="shared" si="149"/>
        <v>1150</v>
      </c>
      <c r="E740" s="285">
        <f t="shared" si="156"/>
        <v>0</v>
      </c>
      <c r="F740" s="285">
        <f t="shared" si="156"/>
        <v>0</v>
      </c>
      <c r="G740" s="285">
        <f t="shared" si="156"/>
        <v>0</v>
      </c>
      <c r="H740" s="285">
        <f t="shared" si="156"/>
        <v>1150</v>
      </c>
      <c r="I740" s="285">
        <f t="shared" si="156"/>
        <v>0</v>
      </c>
      <c r="J740" s="324">
        <f t="shared" si="151"/>
        <v>104.55</v>
      </c>
    </row>
    <row r="741" s="107" customFormat="1" ht="20.1" customHeight="1" spans="1:10">
      <c r="A741" s="279" t="s">
        <v>2596</v>
      </c>
      <c r="B741" s="41" t="s">
        <v>2597</v>
      </c>
      <c r="C741" s="287"/>
      <c r="D741" s="288">
        <f t="shared" si="149"/>
        <v>0</v>
      </c>
      <c r="E741" s="287"/>
      <c r="F741" s="287"/>
      <c r="G741" s="287"/>
      <c r="H741" s="287"/>
      <c r="I741" s="302"/>
      <c r="J741" s="303">
        <f t="shared" si="151"/>
        <v>0</v>
      </c>
    </row>
    <row r="742" s="106" customFormat="1" ht="20.1" customHeight="1" spans="1:10">
      <c r="A742" s="279" t="s">
        <v>2598</v>
      </c>
      <c r="B742" s="41" t="s">
        <v>2599</v>
      </c>
      <c r="C742" s="287">
        <v>1100</v>
      </c>
      <c r="D742" s="288">
        <f t="shared" si="149"/>
        <v>1150</v>
      </c>
      <c r="E742" s="287"/>
      <c r="F742" s="287"/>
      <c r="G742" s="287"/>
      <c r="H742" s="287">
        <v>1150</v>
      </c>
      <c r="I742" s="302"/>
      <c r="J742" s="303">
        <f t="shared" si="151"/>
        <v>104.55</v>
      </c>
    </row>
    <row r="743" s="106" customFormat="1" ht="20.1" customHeight="1" spans="1:10">
      <c r="A743" s="279" t="s">
        <v>2600</v>
      </c>
      <c r="B743" s="41" t="s">
        <v>2601</v>
      </c>
      <c r="C743" s="287"/>
      <c r="D743" s="288">
        <f t="shared" si="149"/>
        <v>0</v>
      </c>
      <c r="E743" s="287"/>
      <c r="F743" s="287"/>
      <c r="G743" s="287"/>
      <c r="H743" s="287"/>
      <c r="I743" s="302"/>
      <c r="J743" s="303">
        <f t="shared" si="151"/>
        <v>0</v>
      </c>
    </row>
    <row r="744" s="106" customFormat="1" ht="20.1" customHeight="1" spans="1:10">
      <c r="A744" s="283" t="s">
        <v>696</v>
      </c>
      <c r="B744" s="323" t="s">
        <v>2602</v>
      </c>
      <c r="C744" s="285">
        <f t="shared" ref="C744:I744" si="157">SUM(C745:C747)</f>
        <v>3196</v>
      </c>
      <c r="D744" s="285">
        <f t="shared" si="149"/>
        <v>3392</v>
      </c>
      <c r="E744" s="285">
        <f t="shared" si="157"/>
        <v>2582</v>
      </c>
      <c r="F744" s="285">
        <f t="shared" si="157"/>
        <v>0</v>
      </c>
      <c r="G744" s="285">
        <f t="shared" si="157"/>
        <v>0</v>
      </c>
      <c r="H744" s="285">
        <f t="shared" si="157"/>
        <v>0</v>
      </c>
      <c r="I744" s="285">
        <f t="shared" si="157"/>
        <v>810</v>
      </c>
      <c r="J744" s="324">
        <f t="shared" si="151"/>
        <v>106.13</v>
      </c>
    </row>
    <row r="745" s="107" customFormat="1" ht="20.1" customHeight="1" spans="1:10">
      <c r="A745" s="279" t="s">
        <v>2603</v>
      </c>
      <c r="B745" s="41" t="s">
        <v>2604</v>
      </c>
      <c r="C745" s="287">
        <v>3196</v>
      </c>
      <c r="D745" s="288">
        <f t="shared" si="149"/>
        <v>3392</v>
      </c>
      <c r="E745" s="287">
        <v>2582</v>
      </c>
      <c r="F745" s="287"/>
      <c r="G745" s="287"/>
      <c r="H745" s="287"/>
      <c r="I745" s="302">
        <v>810</v>
      </c>
      <c r="J745" s="303">
        <f t="shared" si="151"/>
        <v>106.13</v>
      </c>
    </row>
    <row r="746" s="106" customFormat="1" ht="20.1" customHeight="1" spans="1:10">
      <c r="A746" s="279" t="s">
        <v>2605</v>
      </c>
      <c r="B746" s="41" t="s">
        <v>2606</v>
      </c>
      <c r="C746" s="287"/>
      <c r="D746" s="288">
        <f t="shared" si="149"/>
        <v>0</v>
      </c>
      <c r="E746" s="287"/>
      <c r="F746" s="287"/>
      <c r="G746" s="287"/>
      <c r="H746" s="287"/>
      <c r="I746" s="302"/>
      <c r="J746" s="303">
        <f t="shared" si="151"/>
        <v>0</v>
      </c>
    </row>
    <row r="747" s="106" customFormat="1" ht="20.1" customHeight="1" spans="1:10">
      <c r="A747" s="279" t="s">
        <v>2607</v>
      </c>
      <c r="B747" s="41" t="s">
        <v>2608</v>
      </c>
      <c r="C747" s="287"/>
      <c r="D747" s="288">
        <f t="shared" si="149"/>
        <v>0</v>
      </c>
      <c r="E747" s="287"/>
      <c r="F747" s="287"/>
      <c r="G747" s="287"/>
      <c r="H747" s="287"/>
      <c r="I747" s="302"/>
      <c r="J747" s="303">
        <f t="shared" si="151"/>
        <v>0</v>
      </c>
    </row>
    <row r="748" s="106" customFormat="1" ht="20.1" customHeight="1" spans="1:10">
      <c r="A748" s="283" t="s">
        <v>698</v>
      </c>
      <c r="B748" s="323" t="s">
        <v>2609</v>
      </c>
      <c r="C748" s="285">
        <f t="shared" ref="C748:I748" si="158">SUM(C749:C750)</f>
        <v>61</v>
      </c>
      <c r="D748" s="285">
        <f t="shared" si="149"/>
        <v>72</v>
      </c>
      <c r="E748" s="285">
        <f t="shared" si="158"/>
        <v>72</v>
      </c>
      <c r="F748" s="285">
        <f t="shared" si="158"/>
        <v>0</v>
      </c>
      <c r="G748" s="285">
        <f t="shared" si="158"/>
        <v>0</v>
      </c>
      <c r="H748" s="285">
        <f t="shared" si="158"/>
        <v>0</v>
      </c>
      <c r="I748" s="285">
        <f t="shared" si="158"/>
        <v>0</v>
      </c>
      <c r="J748" s="324">
        <f t="shared" si="151"/>
        <v>118.03</v>
      </c>
    </row>
    <row r="749" s="107" customFormat="1" ht="20.1" customHeight="1" spans="1:10">
      <c r="A749" s="279" t="s">
        <v>2610</v>
      </c>
      <c r="B749" s="41" t="s">
        <v>2611</v>
      </c>
      <c r="C749" s="287">
        <v>61</v>
      </c>
      <c r="D749" s="288">
        <f t="shared" si="149"/>
        <v>72</v>
      </c>
      <c r="E749" s="287">
        <v>72</v>
      </c>
      <c r="F749" s="287"/>
      <c r="G749" s="287"/>
      <c r="H749" s="287"/>
      <c r="I749" s="302"/>
      <c r="J749" s="303">
        <f t="shared" si="151"/>
        <v>118.03</v>
      </c>
    </row>
    <row r="750" s="106" customFormat="1" ht="20.1" customHeight="1" spans="1:10">
      <c r="A750" s="279" t="s">
        <v>2612</v>
      </c>
      <c r="B750" s="41" t="s">
        <v>2613</v>
      </c>
      <c r="C750" s="287">
        <v>0</v>
      </c>
      <c r="D750" s="288">
        <f t="shared" si="149"/>
        <v>0</v>
      </c>
      <c r="E750" s="287"/>
      <c r="F750" s="287"/>
      <c r="G750" s="287"/>
      <c r="H750" s="287"/>
      <c r="I750" s="302"/>
      <c r="J750" s="303">
        <f t="shared" si="151"/>
        <v>0</v>
      </c>
    </row>
    <row r="751" s="106" customFormat="1" ht="20.1" customHeight="1" spans="1:10">
      <c r="A751" s="283" t="s">
        <v>700</v>
      </c>
      <c r="B751" s="323" t="s">
        <v>2614</v>
      </c>
      <c r="C751" s="285">
        <f t="shared" ref="C751:I751" si="159">SUM(C752:C759)</f>
        <v>636</v>
      </c>
      <c r="D751" s="285">
        <f t="shared" si="149"/>
        <v>519</v>
      </c>
      <c r="E751" s="285">
        <f t="shared" si="159"/>
        <v>42</v>
      </c>
      <c r="F751" s="285">
        <f t="shared" si="159"/>
        <v>0</v>
      </c>
      <c r="G751" s="285">
        <f t="shared" si="159"/>
        <v>0</v>
      </c>
      <c r="H751" s="285">
        <f t="shared" si="159"/>
        <v>0</v>
      </c>
      <c r="I751" s="285">
        <f t="shared" si="159"/>
        <v>477</v>
      </c>
      <c r="J751" s="324">
        <f t="shared" si="151"/>
        <v>81.6</v>
      </c>
    </row>
    <row r="752" s="107" customFormat="1" ht="20.1" customHeight="1" spans="1:10">
      <c r="A752" s="279" t="s">
        <v>2615</v>
      </c>
      <c r="B752" s="41" t="s">
        <v>1458</v>
      </c>
      <c r="C752" s="287">
        <v>101</v>
      </c>
      <c r="D752" s="288">
        <f t="shared" si="149"/>
        <v>102</v>
      </c>
      <c r="E752" s="287"/>
      <c r="F752" s="287"/>
      <c r="G752" s="287"/>
      <c r="H752" s="287"/>
      <c r="I752" s="302">
        <v>102</v>
      </c>
      <c r="J752" s="303">
        <f t="shared" si="151"/>
        <v>100.99</v>
      </c>
    </row>
    <row r="753" s="106" customFormat="1" ht="20.1" customHeight="1" spans="1:10">
      <c r="A753" s="279" t="s">
        <v>2616</v>
      </c>
      <c r="B753" s="41" t="s">
        <v>1460</v>
      </c>
      <c r="C753" s="287"/>
      <c r="D753" s="288">
        <f t="shared" si="149"/>
        <v>0</v>
      </c>
      <c r="E753" s="287"/>
      <c r="F753" s="287"/>
      <c r="G753" s="287"/>
      <c r="H753" s="287"/>
      <c r="I753" s="302"/>
      <c r="J753" s="303">
        <f t="shared" si="151"/>
        <v>0</v>
      </c>
    </row>
    <row r="754" s="106" customFormat="1" ht="20.1" customHeight="1" spans="1:10">
      <c r="A754" s="279" t="s">
        <v>2617</v>
      </c>
      <c r="B754" s="41" t="s">
        <v>1462</v>
      </c>
      <c r="C754" s="287"/>
      <c r="D754" s="288">
        <f t="shared" si="149"/>
        <v>0</v>
      </c>
      <c r="E754" s="287"/>
      <c r="F754" s="287"/>
      <c r="G754" s="287"/>
      <c r="H754" s="287"/>
      <c r="I754" s="302"/>
      <c r="J754" s="303">
        <f t="shared" si="151"/>
        <v>0</v>
      </c>
    </row>
    <row r="755" s="106" customFormat="1" ht="20.1" customHeight="1" spans="1:10">
      <c r="A755" s="279" t="s">
        <v>2618</v>
      </c>
      <c r="B755" s="41" t="s">
        <v>1553</v>
      </c>
      <c r="C755" s="287"/>
      <c r="D755" s="288">
        <f t="shared" si="149"/>
        <v>0</v>
      </c>
      <c r="E755" s="287"/>
      <c r="F755" s="287"/>
      <c r="G755" s="287"/>
      <c r="H755" s="287"/>
      <c r="I755" s="302"/>
      <c r="J755" s="303">
        <f t="shared" si="151"/>
        <v>0</v>
      </c>
    </row>
    <row r="756" s="106" customFormat="1" ht="20.1" customHeight="1" spans="1:10">
      <c r="A756" s="279" t="s">
        <v>2619</v>
      </c>
      <c r="B756" s="41" t="s">
        <v>2620</v>
      </c>
      <c r="C756" s="287"/>
      <c r="D756" s="288">
        <f t="shared" si="149"/>
        <v>0</v>
      </c>
      <c r="E756" s="287"/>
      <c r="F756" s="287"/>
      <c r="G756" s="287"/>
      <c r="H756" s="287"/>
      <c r="I756" s="302"/>
      <c r="J756" s="303">
        <f t="shared" si="151"/>
        <v>0</v>
      </c>
    </row>
    <row r="757" s="106" customFormat="1" ht="20.1" customHeight="1" spans="1:10">
      <c r="A757" s="279" t="s">
        <v>2621</v>
      </c>
      <c r="B757" s="41" t="s">
        <v>2622</v>
      </c>
      <c r="C757" s="287">
        <v>182</v>
      </c>
      <c r="D757" s="288">
        <f t="shared" si="149"/>
        <v>43</v>
      </c>
      <c r="E757" s="287">
        <v>42</v>
      </c>
      <c r="F757" s="287"/>
      <c r="G757" s="287"/>
      <c r="H757" s="287"/>
      <c r="I757" s="302">
        <v>1</v>
      </c>
      <c r="J757" s="303">
        <f t="shared" si="151"/>
        <v>23.63</v>
      </c>
    </row>
    <row r="758" s="106" customFormat="1" ht="20.1" customHeight="1" spans="1:10">
      <c r="A758" s="279" t="s">
        <v>2623</v>
      </c>
      <c r="B758" s="41" t="s">
        <v>1476</v>
      </c>
      <c r="C758" s="287">
        <v>353</v>
      </c>
      <c r="D758" s="288">
        <f t="shared" si="149"/>
        <v>374</v>
      </c>
      <c r="E758" s="287"/>
      <c r="F758" s="287"/>
      <c r="G758" s="287"/>
      <c r="H758" s="287"/>
      <c r="I758" s="302">
        <v>374</v>
      </c>
      <c r="J758" s="303">
        <f t="shared" si="151"/>
        <v>105.95</v>
      </c>
    </row>
    <row r="759" s="106" customFormat="1" ht="20.1" customHeight="1" spans="1:10">
      <c r="A759" s="279" t="s">
        <v>2624</v>
      </c>
      <c r="B759" s="41" t="s">
        <v>2625</v>
      </c>
      <c r="C759" s="287"/>
      <c r="D759" s="288">
        <f t="shared" si="149"/>
        <v>0</v>
      </c>
      <c r="E759" s="287"/>
      <c r="F759" s="287"/>
      <c r="G759" s="287"/>
      <c r="H759" s="287"/>
      <c r="I759" s="302"/>
      <c r="J759" s="303">
        <f t="shared" si="151"/>
        <v>0</v>
      </c>
    </row>
    <row r="760" s="106" customFormat="1" ht="20.1" customHeight="1" spans="1:10">
      <c r="A760" s="283" t="s">
        <v>702</v>
      </c>
      <c r="B760" s="323" t="s">
        <v>2626</v>
      </c>
      <c r="C760" s="285">
        <f t="shared" ref="C760:I760" si="160">SUM(C761:C766)</f>
        <v>48</v>
      </c>
      <c r="D760" s="285">
        <f t="shared" si="149"/>
        <v>175</v>
      </c>
      <c r="E760" s="285">
        <f t="shared" si="160"/>
        <v>0</v>
      </c>
      <c r="F760" s="285">
        <f t="shared" si="160"/>
        <v>0</v>
      </c>
      <c r="G760" s="285">
        <f t="shared" si="160"/>
        <v>175</v>
      </c>
      <c r="H760" s="285">
        <f t="shared" si="160"/>
        <v>0</v>
      </c>
      <c r="I760" s="285">
        <f t="shared" si="160"/>
        <v>0</v>
      </c>
      <c r="J760" s="324">
        <f t="shared" si="151"/>
        <v>364.58</v>
      </c>
    </row>
    <row r="761" s="107" customFormat="1" ht="20.1" customHeight="1" spans="1:10">
      <c r="A761" s="279" t="s">
        <v>2627</v>
      </c>
      <c r="B761" s="41" t="s">
        <v>1458</v>
      </c>
      <c r="C761" s="287"/>
      <c r="D761" s="288">
        <f t="shared" ref="D761:D777" si="161">SUM(E761:I761)</f>
        <v>0</v>
      </c>
      <c r="E761" s="287"/>
      <c r="F761" s="287"/>
      <c r="G761" s="287"/>
      <c r="H761" s="287"/>
      <c r="I761" s="302"/>
      <c r="J761" s="303">
        <f t="shared" si="151"/>
        <v>0</v>
      </c>
    </row>
    <row r="762" s="106" customFormat="1" ht="20.1" customHeight="1" spans="1:10">
      <c r="A762" s="279" t="s">
        <v>2628</v>
      </c>
      <c r="B762" s="41" t="s">
        <v>1460</v>
      </c>
      <c r="C762" s="287"/>
      <c r="D762" s="288">
        <f t="shared" si="161"/>
        <v>0</v>
      </c>
      <c r="E762" s="287"/>
      <c r="F762" s="287"/>
      <c r="G762" s="287"/>
      <c r="H762" s="287"/>
      <c r="I762" s="302"/>
      <c r="J762" s="303"/>
    </row>
    <row r="763" s="106" customFormat="1" ht="20.1" customHeight="1" spans="1:10">
      <c r="A763" s="279" t="s">
        <v>2629</v>
      </c>
      <c r="B763" s="41" t="s">
        <v>1462</v>
      </c>
      <c r="C763" s="287"/>
      <c r="D763" s="288">
        <f t="shared" si="161"/>
        <v>0</v>
      </c>
      <c r="E763" s="287"/>
      <c r="F763" s="287"/>
      <c r="G763" s="287"/>
      <c r="H763" s="287"/>
      <c r="I763" s="302"/>
      <c r="J763" s="303"/>
    </row>
    <row r="764" s="106" customFormat="1" ht="20.1" customHeight="1" spans="1:10">
      <c r="A764" s="279" t="s">
        <v>2630</v>
      </c>
      <c r="B764" s="41" t="s">
        <v>2631</v>
      </c>
      <c r="C764" s="287">
        <v>48</v>
      </c>
      <c r="D764" s="288">
        <f t="shared" si="161"/>
        <v>150</v>
      </c>
      <c r="E764" s="287"/>
      <c r="F764" s="287"/>
      <c r="G764" s="287">
        <v>150</v>
      </c>
      <c r="H764" s="287"/>
      <c r="I764" s="302"/>
      <c r="J764" s="303"/>
    </row>
    <row r="765" s="106" customFormat="1" ht="20.1" customHeight="1" spans="1:10">
      <c r="A765" s="279" t="s">
        <v>2632</v>
      </c>
      <c r="B765" s="41" t="s">
        <v>1476</v>
      </c>
      <c r="C765" s="287"/>
      <c r="D765" s="288">
        <f t="shared" si="161"/>
        <v>0</v>
      </c>
      <c r="E765" s="287"/>
      <c r="F765" s="287"/>
      <c r="G765" s="287"/>
      <c r="H765" s="287"/>
      <c r="I765" s="302"/>
      <c r="J765" s="303"/>
    </row>
    <row r="766" s="106" customFormat="1" ht="20.1" customHeight="1" spans="1:10">
      <c r="A766" s="279" t="s">
        <v>2633</v>
      </c>
      <c r="B766" s="41" t="s">
        <v>2634</v>
      </c>
      <c r="C766" s="287"/>
      <c r="D766" s="288">
        <f t="shared" si="161"/>
        <v>25</v>
      </c>
      <c r="E766" s="287"/>
      <c r="F766" s="287"/>
      <c r="G766" s="287">
        <v>25</v>
      </c>
      <c r="H766" s="287"/>
      <c r="I766" s="302"/>
      <c r="J766" s="303">
        <f t="shared" ref="J766:J768" si="162">ROUND(IF(C766=0,IF(D766=0,0,1),IF(D766=0,-1,D766/C766)),4)*100</f>
        <v>100</v>
      </c>
    </row>
    <row r="767" s="106" customFormat="1" ht="20.1" customHeight="1" spans="1:10">
      <c r="A767" s="283" t="s">
        <v>704</v>
      </c>
      <c r="B767" s="323" t="s">
        <v>2635</v>
      </c>
      <c r="C767" s="285">
        <f t="shared" ref="C767:I767" si="163">SUM(C768:C771)</f>
        <v>0</v>
      </c>
      <c r="D767" s="285">
        <f t="shared" si="161"/>
        <v>0</v>
      </c>
      <c r="E767" s="285">
        <f t="shared" si="163"/>
        <v>0</v>
      </c>
      <c r="F767" s="285">
        <f t="shared" si="163"/>
        <v>0</v>
      </c>
      <c r="G767" s="285">
        <f t="shared" si="163"/>
        <v>0</v>
      </c>
      <c r="H767" s="285">
        <f t="shared" si="163"/>
        <v>0</v>
      </c>
      <c r="I767" s="285">
        <f t="shared" si="163"/>
        <v>0</v>
      </c>
      <c r="J767" s="324">
        <f t="shared" si="162"/>
        <v>0</v>
      </c>
    </row>
    <row r="768" s="107" customFormat="1" ht="20.1" customHeight="1" spans="1:10">
      <c r="A768" s="279" t="s">
        <v>2636</v>
      </c>
      <c r="B768" s="41" t="s">
        <v>1458</v>
      </c>
      <c r="C768" s="287"/>
      <c r="D768" s="288">
        <f t="shared" si="161"/>
        <v>0</v>
      </c>
      <c r="E768" s="287"/>
      <c r="F768" s="287"/>
      <c r="G768" s="287"/>
      <c r="H768" s="287"/>
      <c r="I768" s="302"/>
      <c r="J768" s="303">
        <f t="shared" si="162"/>
        <v>0</v>
      </c>
    </row>
    <row r="769" s="106" customFormat="1" ht="20.1" customHeight="1" spans="1:10">
      <c r="A769" s="279" t="s">
        <v>2637</v>
      </c>
      <c r="B769" s="41" t="s">
        <v>1460</v>
      </c>
      <c r="C769" s="287"/>
      <c r="D769" s="288">
        <f t="shared" si="161"/>
        <v>0</v>
      </c>
      <c r="E769" s="287"/>
      <c r="F769" s="287"/>
      <c r="G769" s="287"/>
      <c r="H769" s="287"/>
      <c r="I769" s="302"/>
      <c r="J769" s="303"/>
    </row>
    <row r="770" s="106" customFormat="1" ht="20.1" customHeight="1" spans="1:10">
      <c r="A770" s="279" t="s">
        <v>2638</v>
      </c>
      <c r="B770" s="41" t="s">
        <v>1462</v>
      </c>
      <c r="C770" s="287"/>
      <c r="D770" s="288">
        <f t="shared" si="161"/>
        <v>0</v>
      </c>
      <c r="E770" s="287"/>
      <c r="F770" s="287"/>
      <c r="G770" s="287"/>
      <c r="H770" s="287"/>
      <c r="I770" s="302"/>
      <c r="J770" s="303"/>
    </row>
    <row r="771" s="106" customFormat="1" ht="20.1" customHeight="1" spans="1:10">
      <c r="A771" s="279" t="s">
        <v>2639</v>
      </c>
      <c r="B771" s="41" t="s">
        <v>2640</v>
      </c>
      <c r="C771" s="287">
        <v>0</v>
      </c>
      <c r="D771" s="288">
        <f t="shared" si="161"/>
        <v>0</v>
      </c>
      <c r="E771" s="287"/>
      <c r="F771" s="287"/>
      <c r="G771" s="287"/>
      <c r="H771" s="287"/>
      <c r="I771" s="302"/>
      <c r="J771" s="303">
        <f t="shared" ref="J771:J773" si="164">ROUND(IF(C771=0,IF(D771=0,0,1),IF(D771=0,-1,D771/C771)),4)*100</f>
        <v>0</v>
      </c>
    </row>
    <row r="772" s="106" customFormat="1" ht="20.1" customHeight="1" spans="1:10">
      <c r="A772" s="283" t="s">
        <v>706</v>
      </c>
      <c r="B772" s="323" t="s">
        <v>2641</v>
      </c>
      <c r="C772" s="285">
        <f t="shared" ref="C772:I772" si="165">SUM(C773:C775)</f>
        <v>2244</v>
      </c>
      <c r="D772" s="285">
        <f t="shared" si="161"/>
        <v>3046</v>
      </c>
      <c r="E772" s="285">
        <f t="shared" si="165"/>
        <v>2373</v>
      </c>
      <c r="F772" s="285">
        <f t="shared" si="165"/>
        <v>0</v>
      </c>
      <c r="G772" s="285">
        <f t="shared" si="165"/>
        <v>673</v>
      </c>
      <c r="H772" s="285">
        <f t="shared" si="165"/>
        <v>0</v>
      </c>
      <c r="I772" s="285">
        <f t="shared" si="165"/>
        <v>0</v>
      </c>
      <c r="J772" s="324">
        <f t="shared" si="164"/>
        <v>135.74</v>
      </c>
    </row>
    <row r="773" s="107" customFormat="1" ht="20.1" customHeight="1" spans="1:10">
      <c r="A773" s="279" t="s">
        <v>2642</v>
      </c>
      <c r="B773" s="41" t="s">
        <v>2643</v>
      </c>
      <c r="C773" s="287"/>
      <c r="D773" s="288">
        <f t="shared" si="161"/>
        <v>0</v>
      </c>
      <c r="E773" s="287"/>
      <c r="F773" s="287"/>
      <c r="G773" s="287"/>
      <c r="H773" s="287"/>
      <c r="I773" s="302"/>
      <c r="J773" s="303">
        <f t="shared" si="164"/>
        <v>0</v>
      </c>
    </row>
    <row r="774" s="106" customFormat="1" ht="20.1" customHeight="1" spans="1:10">
      <c r="A774" s="279" t="s">
        <v>2644</v>
      </c>
      <c r="B774" s="41" t="s">
        <v>2645</v>
      </c>
      <c r="C774" s="287"/>
      <c r="D774" s="288">
        <f t="shared" si="161"/>
        <v>2373</v>
      </c>
      <c r="E774" s="287">
        <v>2373</v>
      </c>
      <c r="F774" s="287"/>
      <c r="G774" s="287"/>
      <c r="H774" s="287"/>
      <c r="I774" s="302"/>
      <c r="J774" s="303"/>
    </row>
    <row r="775" s="106" customFormat="1" ht="20.1" customHeight="1" spans="1:10">
      <c r="A775" s="279" t="s">
        <v>2646</v>
      </c>
      <c r="B775" s="41" t="s">
        <v>2647</v>
      </c>
      <c r="C775" s="287">
        <v>2244</v>
      </c>
      <c r="D775" s="288">
        <f t="shared" si="161"/>
        <v>673</v>
      </c>
      <c r="E775" s="287"/>
      <c r="F775" s="287"/>
      <c r="G775" s="287">
        <v>673</v>
      </c>
      <c r="H775" s="287"/>
      <c r="I775" s="302"/>
      <c r="J775" s="303"/>
    </row>
    <row r="776" s="107" customFormat="1" ht="20.1" customHeight="1" spans="1:10">
      <c r="A776" s="283" t="s">
        <v>708</v>
      </c>
      <c r="B776" s="323" t="s">
        <v>2648</v>
      </c>
      <c r="C776" s="285">
        <f t="shared" ref="C776:I776" si="166">SUM(C777:C777)</f>
        <v>461</v>
      </c>
      <c r="D776" s="285">
        <f t="shared" si="161"/>
        <v>1088</v>
      </c>
      <c r="E776" s="285">
        <f t="shared" si="166"/>
        <v>155</v>
      </c>
      <c r="F776" s="285">
        <f t="shared" si="166"/>
        <v>0</v>
      </c>
      <c r="G776" s="285">
        <f t="shared" si="166"/>
        <v>808</v>
      </c>
      <c r="H776" s="285">
        <f t="shared" si="166"/>
        <v>0</v>
      </c>
      <c r="I776" s="285">
        <f t="shared" si="166"/>
        <v>125</v>
      </c>
      <c r="J776" s="324">
        <f t="shared" ref="J776:J786" si="167">ROUND(IF(C776=0,IF(D776=0,0,1),IF(D776=0,-1,D776/C776)),4)*100</f>
        <v>236.01</v>
      </c>
    </row>
    <row r="777" s="106" customFormat="1" ht="20.1" customHeight="1" spans="1:10">
      <c r="A777" s="337" t="s">
        <v>2649</v>
      </c>
      <c r="B777" s="41" t="s">
        <v>709</v>
      </c>
      <c r="C777" s="287">
        <v>461</v>
      </c>
      <c r="D777" s="288">
        <f t="shared" si="161"/>
        <v>1088</v>
      </c>
      <c r="E777" s="287">
        <v>155</v>
      </c>
      <c r="F777" s="287"/>
      <c r="G777" s="287">
        <v>808</v>
      </c>
      <c r="H777" s="287"/>
      <c r="I777" s="302">
        <v>125</v>
      </c>
      <c r="J777" s="303"/>
    </row>
    <row r="778" s="107" customFormat="1" ht="20.1" customHeight="1" spans="1:10">
      <c r="A778" s="280" t="s">
        <v>710</v>
      </c>
      <c r="B778" s="281" t="s">
        <v>711</v>
      </c>
      <c r="C778" s="282">
        <f t="shared" ref="C778:I778" si="168">C779+C789+C793+C802+C809+C816+C819+C822+C824+C826+C832+C835+C837+C848</f>
        <v>2116</v>
      </c>
      <c r="D778" s="282">
        <f t="shared" si="168"/>
        <v>2612</v>
      </c>
      <c r="E778" s="282">
        <f t="shared" si="168"/>
        <v>1931</v>
      </c>
      <c r="F778" s="282">
        <f t="shared" si="168"/>
        <v>0</v>
      </c>
      <c r="G778" s="282">
        <f t="shared" si="168"/>
        <v>574</v>
      </c>
      <c r="H778" s="282">
        <f t="shared" si="168"/>
        <v>0</v>
      </c>
      <c r="I778" s="282">
        <f t="shared" si="168"/>
        <v>107</v>
      </c>
      <c r="J778" s="296">
        <f t="shared" si="167"/>
        <v>123.44</v>
      </c>
    </row>
    <row r="779" s="107" customFormat="1" ht="20.1" customHeight="1" spans="1:10">
      <c r="A779" s="283" t="s">
        <v>712</v>
      </c>
      <c r="B779" s="323" t="s">
        <v>2650</v>
      </c>
      <c r="C779" s="285">
        <f t="shared" ref="C779:I779" si="169">SUM(C780:C788)</f>
        <v>0</v>
      </c>
      <c r="D779" s="285">
        <f t="shared" ref="D779:D836" si="170">SUM(E779:I779)</f>
        <v>0</v>
      </c>
      <c r="E779" s="285">
        <f t="shared" si="169"/>
        <v>0</v>
      </c>
      <c r="F779" s="285">
        <f t="shared" si="169"/>
        <v>0</v>
      </c>
      <c r="G779" s="285">
        <f t="shared" si="169"/>
        <v>0</v>
      </c>
      <c r="H779" s="285">
        <f t="shared" si="169"/>
        <v>0</v>
      </c>
      <c r="I779" s="285">
        <f t="shared" si="169"/>
        <v>0</v>
      </c>
      <c r="J779" s="324">
        <f t="shared" si="167"/>
        <v>0</v>
      </c>
    </row>
    <row r="780" s="106" customFormat="1" ht="20.1" customHeight="1" spans="1:10">
      <c r="A780" s="279" t="s">
        <v>2651</v>
      </c>
      <c r="B780" s="41" t="s">
        <v>1458</v>
      </c>
      <c r="C780" s="287"/>
      <c r="D780" s="288">
        <f t="shared" si="170"/>
        <v>0</v>
      </c>
      <c r="E780" s="287"/>
      <c r="F780" s="287"/>
      <c r="G780" s="287"/>
      <c r="H780" s="287"/>
      <c r="I780" s="302"/>
      <c r="J780" s="303">
        <f t="shared" si="167"/>
        <v>0</v>
      </c>
    </row>
    <row r="781" s="106" customFormat="1" ht="20.1" customHeight="1" spans="1:10">
      <c r="A781" s="279" t="s">
        <v>2652</v>
      </c>
      <c r="B781" s="41" t="s">
        <v>1460</v>
      </c>
      <c r="C781" s="287">
        <v>0</v>
      </c>
      <c r="D781" s="288">
        <f t="shared" si="170"/>
        <v>0</v>
      </c>
      <c r="E781" s="287"/>
      <c r="F781" s="287"/>
      <c r="G781" s="287"/>
      <c r="H781" s="287"/>
      <c r="I781" s="302"/>
      <c r="J781" s="303">
        <f t="shared" si="167"/>
        <v>0</v>
      </c>
    </row>
    <row r="782" s="106" customFormat="1" ht="20.1" customHeight="1" spans="1:10">
      <c r="A782" s="279" t="s">
        <v>2653</v>
      </c>
      <c r="B782" s="41" t="s">
        <v>1462</v>
      </c>
      <c r="C782" s="287">
        <v>0</v>
      </c>
      <c r="D782" s="288">
        <f t="shared" si="170"/>
        <v>0</v>
      </c>
      <c r="E782" s="287"/>
      <c r="F782" s="287"/>
      <c r="G782" s="287"/>
      <c r="H782" s="287"/>
      <c r="I782" s="302"/>
      <c r="J782" s="303">
        <f t="shared" si="167"/>
        <v>0</v>
      </c>
    </row>
    <row r="783" s="106" customFormat="1" ht="20.1" customHeight="1" spans="1:10">
      <c r="A783" s="279" t="s">
        <v>2654</v>
      </c>
      <c r="B783" s="41" t="s">
        <v>2655</v>
      </c>
      <c r="C783" s="287">
        <v>0</v>
      </c>
      <c r="D783" s="288">
        <f t="shared" si="170"/>
        <v>0</v>
      </c>
      <c r="E783" s="287"/>
      <c r="F783" s="287"/>
      <c r="G783" s="287"/>
      <c r="H783" s="287"/>
      <c r="I783" s="302"/>
      <c r="J783" s="303">
        <f t="shared" si="167"/>
        <v>0</v>
      </c>
    </row>
    <row r="784" s="106" customFormat="1" ht="20.1" customHeight="1" spans="1:10">
      <c r="A784" s="279" t="s">
        <v>2656</v>
      </c>
      <c r="B784" s="41" t="s">
        <v>2657</v>
      </c>
      <c r="C784" s="287">
        <v>0</v>
      </c>
      <c r="D784" s="288">
        <f t="shared" si="170"/>
        <v>0</v>
      </c>
      <c r="E784" s="287"/>
      <c r="F784" s="287"/>
      <c r="G784" s="287"/>
      <c r="H784" s="287"/>
      <c r="I784" s="302"/>
      <c r="J784" s="303">
        <f t="shared" si="167"/>
        <v>0</v>
      </c>
    </row>
    <row r="785" s="106" customFormat="1" ht="20.1" customHeight="1" spans="1:10">
      <c r="A785" s="279" t="s">
        <v>2658</v>
      </c>
      <c r="B785" s="41" t="s">
        <v>2659</v>
      </c>
      <c r="C785" s="287">
        <v>0</v>
      </c>
      <c r="D785" s="288">
        <f t="shared" si="170"/>
        <v>0</v>
      </c>
      <c r="E785" s="287"/>
      <c r="F785" s="287"/>
      <c r="G785" s="287"/>
      <c r="H785" s="287"/>
      <c r="I785" s="302"/>
      <c r="J785" s="303">
        <f t="shared" si="167"/>
        <v>0</v>
      </c>
    </row>
    <row r="786" s="106" customFormat="1" ht="20.1" customHeight="1" spans="1:10">
      <c r="A786" s="279" t="s">
        <v>2660</v>
      </c>
      <c r="B786" s="41" t="s">
        <v>2661</v>
      </c>
      <c r="C786" s="287">
        <v>0</v>
      </c>
      <c r="D786" s="288">
        <f t="shared" si="170"/>
        <v>0</v>
      </c>
      <c r="E786" s="287"/>
      <c r="F786" s="287"/>
      <c r="G786" s="287"/>
      <c r="H786" s="287"/>
      <c r="I786" s="302"/>
      <c r="J786" s="303">
        <f t="shared" si="167"/>
        <v>0</v>
      </c>
    </row>
    <row r="787" s="106" customFormat="1" ht="20.1" customHeight="1" spans="1:10">
      <c r="A787" s="279" t="s">
        <v>2662</v>
      </c>
      <c r="B787" s="41" t="s">
        <v>2663</v>
      </c>
      <c r="C787" s="287"/>
      <c r="D787" s="288">
        <f t="shared" si="170"/>
        <v>0</v>
      </c>
      <c r="E787" s="287"/>
      <c r="F787" s="287"/>
      <c r="G787" s="287"/>
      <c r="H787" s="287"/>
      <c r="I787" s="302"/>
      <c r="J787" s="303"/>
    </row>
    <row r="788" s="106" customFormat="1" ht="20.1" customHeight="1" spans="1:10">
      <c r="A788" s="279" t="s">
        <v>2664</v>
      </c>
      <c r="B788" s="41" t="s">
        <v>2665</v>
      </c>
      <c r="C788" s="287">
        <v>0</v>
      </c>
      <c r="D788" s="288">
        <f t="shared" si="170"/>
        <v>0</v>
      </c>
      <c r="E788" s="287"/>
      <c r="F788" s="287"/>
      <c r="G788" s="287"/>
      <c r="H788" s="287"/>
      <c r="I788" s="302"/>
      <c r="J788" s="303">
        <f t="shared" ref="J788:J799" si="171">ROUND(IF(C788=0,IF(D788=0,0,1),IF(D788=0,-1,D788/C788)),4)*100</f>
        <v>0</v>
      </c>
    </row>
    <row r="789" s="107" customFormat="1" ht="20.1" customHeight="1" spans="1:10">
      <c r="A789" s="283" t="s">
        <v>713</v>
      </c>
      <c r="B789" s="323" t="s">
        <v>2666</v>
      </c>
      <c r="C789" s="285">
        <v>0</v>
      </c>
      <c r="D789" s="285">
        <f t="shared" si="170"/>
        <v>0</v>
      </c>
      <c r="E789" s="285">
        <f t="shared" ref="E789:H789" si="172">SUM(E790:E792)</f>
        <v>0</v>
      </c>
      <c r="F789" s="285">
        <f t="shared" si="172"/>
        <v>0</v>
      </c>
      <c r="G789" s="285">
        <f>VLOOKUP(A789,[1]√表四、2025年公共财政支出变动表!$A$8:$S$221,18,FALSE)</f>
        <v>0</v>
      </c>
      <c r="H789" s="285">
        <f t="shared" si="172"/>
        <v>0</v>
      </c>
      <c r="I789" s="285"/>
      <c r="J789" s="324">
        <f t="shared" si="171"/>
        <v>0</v>
      </c>
    </row>
    <row r="790" s="106" customFormat="1" ht="20.1" customHeight="1" spans="1:10">
      <c r="A790" s="279" t="s">
        <v>2667</v>
      </c>
      <c r="B790" s="41" t="s">
        <v>2668</v>
      </c>
      <c r="C790" s="287">
        <v>0</v>
      </c>
      <c r="D790" s="288">
        <f t="shared" si="170"/>
        <v>0</v>
      </c>
      <c r="E790" s="287"/>
      <c r="F790" s="287"/>
      <c r="G790" s="287"/>
      <c r="H790" s="287"/>
      <c r="I790" s="302"/>
      <c r="J790" s="303">
        <f t="shared" si="171"/>
        <v>0</v>
      </c>
    </row>
    <row r="791" s="266" customFormat="1" ht="20.1" customHeight="1" spans="1:10">
      <c r="A791" s="279" t="s">
        <v>2669</v>
      </c>
      <c r="B791" s="41" t="s">
        <v>2670</v>
      </c>
      <c r="C791" s="287">
        <v>0</v>
      </c>
      <c r="D791" s="288">
        <f t="shared" si="170"/>
        <v>0</v>
      </c>
      <c r="E791" s="287"/>
      <c r="F791" s="287"/>
      <c r="G791" s="287"/>
      <c r="H791" s="287"/>
      <c r="I791" s="302"/>
      <c r="J791" s="303">
        <f t="shared" si="171"/>
        <v>0</v>
      </c>
    </row>
    <row r="792" s="266" customFormat="1" ht="20.1" customHeight="1" spans="1:10">
      <c r="A792" s="279" t="s">
        <v>2671</v>
      </c>
      <c r="B792" s="41" t="s">
        <v>2672</v>
      </c>
      <c r="C792" s="287">
        <v>0</v>
      </c>
      <c r="D792" s="288">
        <f t="shared" si="170"/>
        <v>0</v>
      </c>
      <c r="E792" s="287"/>
      <c r="F792" s="287"/>
      <c r="G792" s="287"/>
      <c r="H792" s="287"/>
      <c r="I792" s="302"/>
      <c r="J792" s="303">
        <f t="shared" si="171"/>
        <v>0</v>
      </c>
    </row>
    <row r="793" s="107" customFormat="1" ht="20.1" customHeight="1" spans="1:10">
      <c r="A793" s="283" t="s">
        <v>714</v>
      </c>
      <c r="B793" s="323" t="s">
        <v>2673</v>
      </c>
      <c r="C793" s="285">
        <f t="shared" ref="C793:I793" si="173">SUM(C794:C801)</f>
        <v>7</v>
      </c>
      <c r="D793" s="285">
        <f t="shared" si="170"/>
        <v>112</v>
      </c>
      <c r="E793" s="285">
        <f t="shared" si="173"/>
        <v>0</v>
      </c>
      <c r="F793" s="285">
        <f t="shared" si="173"/>
        <v>0</v>
      </c>
      <c r="G793" s="285">
        <f t="shared" si="173"/>
        <v>112</v>
      </c>
      <c r="H793" s="285">
        <f t="shared" si="173"/>
        <v>0</v>
      </c>
      <c r="I793" s="285">
        <f t="shared" si="173"/>
        <v>0</v>
      </c>
      <c r="J793" s="324">
        <f t="shared" si="171"/>
        <v>1600</v>
      </c>
    </row>
    <row r="794" s="266" customFormat="1" ht="20.1" customHeight="1" spans="1:10">
      <c r="A794" s="279" t="s">
        <v>2674</v>
      </c>
      <c r="B794" s="41" t="s">
        <v>2675</v>
      </c>
      <c r="C794" s="287">
        <v>6</v>
      </c>
      <c r="D794" s="288">
        <f t="shared" si="170"/>
        <v>4</v>
      </c>
      <c r="E794" s="287"/>
      <c r="F794" s="287"/>
      <c r="G794" s="287">
        <v>4</v>
      </c>
      <c r="H794" s="287"/>
      <c r="I794" s="302"/>
      <c r="J794" s="303">
        <f t="shared" si="171"/>
        <v>66.67</v>
      </c>
    </row>
    <row r="795" s="266" customFormat="1" ht="20.1" customHeight="1" spans="1:10">
      <c r="A795" s="279" t="s">
        <v>2676</v>
      </c>
      <c r="B795" s="41" t="s">
        <v>2677</v>
      </c>
      <c r="C795" s="287"/>
      <c r="D795" s="288">
        <f t="shared" si="170"/>
        <v>108</v>
      </c>
      <c r="E795" s="287"/>
      <c r="F795" s="287"/>
      <c r="G795" s="287">
        <v>108</v>
      </c>
      <c r="H795" s="287"/>
      <c r="I795" s="302"/>
      <c r="J795" s="303">
        <f t="shared" si="171"/>
        <v>100</v>
      </c>
    </row>
    <row r="796" s="266" customFormat="1" ht="20.1" customHeight="1" spans="1:10">
      <c r="A796" s="279" t="s">
        <v>2678</v>
      </c>
      <c r="B796" s="41" t="s">
        <v>2679</v>
      </c>
      <c r="C796" s="287"/>
      <c r="D796" s="288">
        <f t="shared" si="170"/>
        <v>0</v>
      </c>
      <c r="E796" s="287"/>
      <c r="F796" s="287"/>
      <c r="G796" s="287"/>
      <c r="H796" s="287"/>
      <c r="I796" s="302"/>
      <c r="J796" s="303">
        <f t="shared" si="171"/>
        <v>0</v>
      </c>
    </row>
    <row r="797" s="266" customFormat="1" ht="20.1" customHeight="1" spans="1:10">
      <c r="A797" s="279" t="s">
        <v>2680</v>
      </c>
      <c r="B797" s="41" t="s">
        <v>2681</v>
      </c>
      <c r="C797" s="287">
        <v>1</v>
      </c>
      <c r="D797" s="288">
        <f t="shared" si="170"/>
        <v>0</v>
      </c>
      <c r="E797" s="287"/>
      <c r="F797" s="287"/>
      <c r="G797" s="287"/>
      <c r="H797" s="287"/>
      <c r="I797" s="302"/>
      <c r="J797" s="303">
        <f t="shared" si="171"/>
        <v>-100</v>
      </c>
    </row>
    <row r="798" s="266" customFormat="1" ht="20.1" customHeight="1" spans="1:10">
      <c r="A798" s="279" t="s">
        <v>2682</v>
      </c>
      <c r="B798" s="41" t="s">
        <v>2683</v>
      </c>
      <c r="C798" s="287"/>
      <c r="D798" s="288">
        <f t="shared" si="170"/>
        <v>0</v>
      </c>
      <c r="E798" s="287"/>
      <c r="F798" s="287"/>
      <c r="G798" s="287"/>
      <c r="H798" s="287"/>
      <c r="I798" s="302"/>
      <c r="J798" s="303">
        <f t="shared" si="171"/>
        <v>0</v>
      </c>
    </row>
    <row r="799" s="266" customFormat="1" ht="20.1" customHeight="1" spans="1:10">
      <c r="A799" s="279" t="s">
        <v>2684</v>
      </c>
      <c r="B799" s="41" t="s">
        <v>2685</v>
      </c>
      <c r="C799" s="287"/>
      <c r="D799" s="288">
        <f t="shared" si="170"/>
        <v>0</v>
      </c>
      <c r="E799" s="287"/>
      <c r="F799" s="287"/>
      <c r="G799" s="287"/>
      <c r="H799" s="287"/>
      <c r="I799" s="302"/>
      <c r="J799" s="303">
        <f t="shared" si="171"/>
        <v>0</v>
      </c>
    </row>
    <row r="800" s="266" customFormat="1" ht="20.1" customHeight="1" spans="1:10">
      <c r="A800" s="279" t="s">
        <v>2686</v>
      </c>
      <c r="B800" s="41" t="s">
        <v>2687</v>
      </c>
      <c r="C800" s="287"/>
      <c r="D800" s="288">
        <f t="shared" si="170"/>
        <v>0</v>
      </c>
      <c r="E800" s="287"/>
      <c r="F800" s="287"/>
      <c r="G800" s="287"/>
      <c r="H800" s="287"/>
      <c r="I800" s="302"/>
      <c r="J800" s="303"/>
    </row>
    <row r="801" s="266" customFormat="1" ht="20.1" customHeight="1" spans="1:10">
      <c r="A801" s="279" t="s">
        <v>2688</v>
      </c>
      <c r="B801" s="41" t="s">
        <v>2689</v>
      </c>
      <c r="C801" s="287"/>
      <c r="D801" s="288">
        <f t="shared" si="170"/>
        <v>0</v>
      </c>
      <c r="E801" s="287"/>
      <c r="F801" s="287"/>
      <c r="G801" s="287"/>
      <c r="H801" s="287"/>
      <c r="I801" s="302"/>
      <c r="J801" s="303">
        <f t="shared" ref="J801:J805" si="174">ROUND(IF(C801=0,IF(D801=0,0,1),IF(D801=0,-1,D801/C801)),4)*100</f>
        <v>0</v>
      </c>
    </row>
    <row r="802" s="107" customFormat="1" ht="20.1" customHeight="1" spans="1:10">
      <c r="A802" s="283" t="s">
        <v>715</v>
      </c>
      <c r="B802" s="323" t="s">
        <v>2690</v>
      </c>
      <c r="C802" s="285">
        <f t="shared" ref="C802:I802" si="175">SUM(C803:C808)</f>
        <v>1904</v>
      </c>
      <c r="D802" s="285">
        <f t="shared" si="170"/>
        <v>61</v>
      </c>
      <c r="E802" s="285">
        <f t="shared" si="175"/>
        <v>0</v>
      </c>
      <c r="F802" s="285">
        <f t="shared" si="175"/>
        <v>0</v>
      </c>
      <c r="G802" s="285">
        <f t="shared" si="175"/>
        <v>61</v>
      </c>
      <c r="H802" s="285">
        <f t="shared" si="175"/>
        <v>0</v>
      </c>
      <c r="I802" s="285">
        <f t="shared" si="175"/>
        <v>0</v>
      </c>
      <c r="J802" s="324">
        <f t="shared" si="174"/>
        <v>3.2</v>
      </c>
    </row>
    <row r="803" s="266" customFormat="1" ht="20.1" customHeight="1" spans="1:10">
      <c r="A803" s="279" t="s">
        <v>2691</v>
      </c>
      <c r="B803" s="41" t="s">
        <v>2692</v>
      </c>
      <c r="C803" s="287">
        <v>1893</v>
      </c>
      <c r="D803" s="288">
        <f t="shared" si="170"/>
        <v>61</v>
      </c>
      <c r="E803" s="287"/>
      <c r="F803" s="287"/>
      <c r="G803" s="287">
        <v>61</v>
      </c>
      <c r="H803" s="287"/>
      <c r="I803" s="302"/>
      <c r="J803" s="303">
        <f t="shared" si="174"/>
        <v>3.22</v>
      </c>
    </row>
    <row r="804" s="266" customFormat="1" ht="20.1" customHeight="1" spans="1:10">
      <c r="A804" s="279" t="s">
        <v>2693</v>
      </c>
      <c r="B804" s="41" t="s">
        <v>2694</v>
      </c>
      <c r="C804" s="287">
        <v>6</v>
      </c>
      <c r="D804" s="288">
        <f t="shared" si="170"/>
        <v>0</v>
      </c>
      <c r="E804" s="287"/>
      <c r="F804" s="287"/>
      <c r="G804" s="287"/>
      <c r="H804" s="287"/>
      <c r="I804" s="302"/>
      <c r="J804" s="303">
        <f t="shared" si="174"/>
        <v>-100</v>
      </c>
    </row>
    <row r="805" s="266" customFormat="1" ht="20.1" customHeight="1" spans="1:10">
      <c r="A805" s="279" t="s">
        <v>2695</v>
      </c>
      <c r="B805" s="41" t="s">
        <v>2696</v>
      </c>
      <c r="C805" s="287"/>
      <c r="D805" s="288">
        <f t="shared" si="170"/>
        <v>0</v>
      </c>
      <c r="E805" s="287"/>
      <c r="F805" s="287"/>
      <c r="G805" s="287"/>
      <c r="H805" s="287"/>
      <c r="I805" s="302"/>
      <c r="J805" s="303">
        <f t="shared" si="174"/>
        <v>0</v>
      </c>
    </row>
    <row r="806" s="266" customFormat="1" ht="20.1" customHeight="1" spans="1:10">
      <c r="A806" s="279" t="s">
        <v>2697</v>
      </c>
      <c r="B806" s="41" t="s">
        <v>2698</v>
      </c>
      <c r="C806" s="287"/>
      <c r="D806" s="288">
        <f t="shared" si="170"/>
        <v>0</v>
      </c>
      <c r="E806" s="287"/>
      <c r="F806" s="287"/>
      <c r="G806" s="287"/>
      <c r="H806" s="287"/>
      <c r="I806" s="302"/>
      <c r="J806" s="303"/>
    </row>
    <row r="807" s="266" customFormat="1" ht="20.1" customHeight="1" spans="1:10">
      <c r="A807" s="279" t="s">
        <v>2699</v>
      </c>
      <c r="B807" s="41" t="s">
        <v>2700</v>
      </c>
      <c r="C807" s="287">
        <v>4</v>
      </c>
      <c r="D807" s="288">
        <f t="shared" si="170"/>
        <v>0</v>
      </c>
      <c r="E807" s="287"/>
      <c r="F807" s="287"/>
      <c r="G807" s="287"/>
      <c r="H807" s="287"/>
      <c r="I807" s="302"/>
      <c r="J807" s="303">
        <f t="shared" ref="J807:J822" si="176">ROUND(IF(C807=0,IF(D807=0,0,1),IF(D807=0,-1,D807/C807)),4)*100</f>
        <v>-100</v>
      </c>
    </row>
    <row r="808" s="266" customFormat="1" ht="20.1" customHeight="1" spans="1:10">
      <c r="A808" s="279" t="s">
        <v>2701</v>
      </c>
      <c r="B808" s="41" t="s">
        <v>2702</v>
      </c>
      <c r="C808" s="287">
        <v>1</v>
      </c>
      <c r="D808" s="288">
        <f t="shared" si="170"/>
        <v>0</v>
      </c>
      <c r="E808" s="287"/>
      <c r="F808" s="287"/>
      <c r="G808" s="287"/>
      <c r="H808" s="287"/>
      <c r="I808" s="302"/>
      <c r="J808" s="303">
        <f t="shared" si="176"/>
        <v>-100</v>
      </c>
    </row>
    <row r="809" s="107" customFormat="1" ht="20.1" customHeight="1" spans="1:10">
      <c r="A809" s="283" t="s">
        <v>716</v>
      </c>
      <c r="B809" s="323" t="s">
        <v>2703</v>
      </c>
      <c r="C809" s="285">
        <f t="shared" ref="C809:I809" si="177">SUM(C810:C815)</f>
        <v>156</v>
      </c>
      <c r="D809" s="285">
        <f t="shared" si="170"/>
        <v>2271</v>
      </c>
      <c r="E809" s="285">
        <f t="shared" si="177"/>
        <v>1931</v>
      </c>
      <c r="F809" s="285">
        <f t="shared" si="177"/>
        <v>0</v>
      </c>
      <c r="G809" s="285">
        <f t="shared" si="177"/>
        <v>340</v>
      </c>
      <c r="H809" s="285">
        <f t="shared" si="177"/>
        <v>0</v>
      </c>
      <c r="I809" s="285">
        <f t="shared" si="177"/>
        <v>0</v>
      </c>
      <c r="J809" s="324">
        <f t="shared" si="176"/>
        <v>1455.77</v>
      </c>
    </row>
    <row r="810" s="266" customFormat="1" ht="20.1" customHeight="1" spans="1:10">
      <c r="A810" s="279" t="s">
        <v>2704</v>
      </c>
      <c r="B810" s="41" t="s">
        <v>2705</v>
      </c>
      <c r="C810" s="287">
        <v>151</v>
      </c>
      <c r="D810" s="288">
        <f t="shared" si="170"/>
        <v>2270</v>
      </c>
      <c r="E810" s="287">
        <v>1931</v>
      </c>
      <c r="F810" s="287"/>
      <c r="G810" s="287">
        <v>339</v>
      </c>
      <c r="H810" s="287"/>
      <c r="I810" s="302"/>
      <c r="J810" s="303">
        <f t="shared" si="176"/>
        <v>1503.31</v>
      </c>
    </row>
    <row r="811" s="106" customFormat="1" ht="20.1" customHeight="1" spans="1:10">
      <c r="A811" s="279" t="s">
        <v>2706</v>
      </c>
      <c r="B811" s="41" t="s">
        <v>2707</v>
      </c>
      <c r="C811" s="287"/>
      <c r="D811" s="288">
        <f t="shared" si="170"/>
        <v>0</v>
      </c>
      <c r="E811" s="287"/>
      <c r="F811" s="287"/>
      <c r="G811" s="287"/>
      <c r="H811" s="287"/>
      <c r="I811" s="302"/>
      <c r="J811" s="303">
        <f t="shared" si="176"/>
        <v>0</v>
      </c>
    </row>
    <row r="812" s="106" customFormat="1" ht="20.1" customHeight="1" spans="1:10">
      <c r="A812" s="279" t="s">
        <v>2708</v>
      </c>
      <c r="B812" s="41" t="s">
        <v>2709</v>
      </c>
      <c r="C812" s="287"/>
      <c r="D812" s="288">
        <f t="shared" si="170"/>
        <v>0</v>
      </c>
      <c r="E812" s="287"/>
      <c r="F812" s="287"/>
      <c r="G812" s="287"/>
      <c r="H812" s="287"/>
      <c r="I812" s="302"/>
      <c r="J812" s="303">
        <f t="shared" si="176"/>
        <v>0</v>
      </c>
    </row>
    <row r="813" s="106" customFormat="1" ht="20.1" customHeight="1" spans="1:10">
      <c r="A813" s="279" t="s">
        <v>2710</v>
      </c>
      <c r="B813" s="41" t="s">
        <v>2711</v>
      </c>
      <c r="C813" s="287"/>
      <c r="D813" s="288">
        <f t="shared" si="170"/>
        <v>0</v>
      </c>
      <c r="E813" s="287"/>
      <c r="F813" s="287"/>
      <c r="G813" s="287"/>
      <c r="H813" s="287"/>
      <c r="I813" s="302"/>
      <c r="J813" s="303">
        <f t="shared" si="176"/>
        <v>0</v>
      </c>
    </row>
    <row r="814" s="106" customFormat="1" ht="20.1" customHeight="1" spans="1:10">
      <c r="A814" s="279" t="s">
        <v>2712</v>
      </c>
      <c r="B814" s="41" t="s">
        <v>2713</v>
      </c>
      <c r="C814" s="287">
        <v>5</v>
      </c>
      <c r="D814" s="288">
        <f t="shared" si="170"/>
        <v>1</v>
      </c>
      <c r="E814" s="287"/>
      <c r="F814" s="287"/>
      <c r="G814" s="287">
        <v>1</v>
      </c>
      <c r="H814" s="287"/>
      <c r="I814" s="302"/>
      <c r="J814" s="303">
        <f t="shared" si="176"/>
        <v>20</v>
      </c>
    </row>
    <row r="815" s="106" customFormat="1" ht="20.1" customHeight="1" spans="1:10">
      <c r="A815" s="279" t="s">
        <v>2714</v>
      </c>
      <c r="B815" s="41" t="s">
        <v>2715</v>
      </c>
      <c r="C815" s="287"/>
      <c r="D815" s="288">
        <f t="shared" si="170"/>
        <v>0</v>
      </c>
      <c r="E815" s="287"/>
      <c r="F815" s="287"/>
      <c r="G815" s="287"/>
      <c r="H815" s="287"/>
      <c r="I815" s="302"/>
      <c r="J815" s="303">
        <f t="shared" si="176"/>
        <v>0</v>
      </c>
    </row>
    <row r="816" s="107" customFormat="1" ht="20.1" customHeight="1" spans="1:10">
      <c r="A816" s="283" t="s">
        <v>718</v>
      </c>
      <c r="B816" s="323" t="s">
        <v>2716</v>
      </c>
      <c r="C816" s="285">
        <v>0</v>
      </c>
      <c r="D816" s="285">
        <f t="shared" si="170"/>
        <v>0</v>
      </c>
      <c r="E816" s="285">
        <f t="shared" ref="E816:H816" si="178">SUM(E817:E818)</f>
        <v>0</v>
      </c>
      <c r="F816" s="285">
        <f t="shared" si="178"/>
        <v>0</v>
      </c>
      <c r="G816" s="285">
        <f>VLOOKUP(A816,[1]√表四、2025年公共财政支出变动表!$A$8:$S$221,18,FALSE)</f>
        <v>0</v>
      </c>
      <c r="H816" s="285">
        <f t="shared" si="178"/>
        <v>0</v>
      </c>
      <c r="I816" s="285"/>
      <c r="J816" s="324">
        <f t="shared" si="176"/>
        <v>0</v>
      </c>
    </row>
    <row r="817" s="106" customFormat="1" ht="20.1" customHeight="1" spans="1:10">
      <c r="A817" s="279" t="s">
        <v>2717</v>
      </c>
      <c r="B817" s="41" t="s">
        <v>2718</v>
      </c>
      <c r="C817" s="287">
        <v>0</v>
      </c>
      <c r="D817" s="288">
        <f t="shared" si="170"/>
        <v>0</v>
      </c>
      <c r="E817" s="287"/>
      <c r="F817" s="287"/>
      <c r="G817" s="287"/>
      <c r="H817" s="287"/>
      <c r="I817" s="302"/>
      <c r="J817" s="303">
        <f t="shared" si="176"/>
        <v>0</v>
      </c>
    </row>
    <row r="818" s="106" customFormat="1" ht="20.1" customHeight="1" spans="1:10">
      <c r="A818" s="279" t="s">
        <v>2719</v>
      </c>
      <c r="B818" s="41" t="s">
        <v>2720</v>
      </c>
      <c r="C818" s="287">
        <v>0</v>
      </c>
      <c r="D818" s="288">
        <f t="shared" si="170"/>
        <v>0</v>
      </c>
      <c r="E818" s="287"/>
      <c r="F818" s="287"/>
      <c r="G818" s="287"/>
      <c r="H818" s="287"/>
      <c r="I818" s="302"/>
      <c r="J818" s="303">
        <f t="shared" si="176"/>
        <v>0</v>
      </c>
    </row>
    <row r="819" s="107" customFormat="1" ht="20.1" customHeight="1" spans="1:10">
      <c r="A819" s="283" t="s">
        <v>2721</v>
      </c>
      <c r="B819" s="323" t="s">
        <v>2722</v>
      </c>
      <c r="C819" s="285">
        <v>0</v>
      </c>
      <c r="D819" s="285">
        <f t="shared" si="170"/>
        <v>0</v>
      </c>
      <c r="E819" s="285">
        <f t="shared" ref="E819:H819" si="179">SUM(E820:E821)</f>
        <v>0</v>
      </c>
      <c r="F819" s="285">
        <f t="shared" si="179"/>
        <v>0</v>
      </c>
      <c r="G819" s="285">
        <f t="shared" si="179"/>
        <v>0</v>
      </c>
      <c r="H819" s="285">
        <f t="shared" si="179"/>
        <v>0</v>
      </c>
      <c r="I819" s="285"/>
      <c r="J819" s="324">
        <f t="shared" si="176"/>
        <v>0</v>
      </c>
    </row>
    <row r="820" s="106" customFormat="1" ht="20.1" customHeight="1" spans="1:10">
      <c r="A820" s="279" t="s">
        <v>2723</v>
      </c>
      <c r="B820" s="41" t="s">
        <v>2724</v>
      </c>
      <c r="C820" s="287">
        <v>0</v>
      </c>
      <c r="D820" s="288">
        <f t="shared" si="170"/>
        <v>0</v>
      </c>
      <c r="E820" s="287"/>
      <c r="F820" s="287"/>
      <c r="G820" s="287"/>
      <c r="H820" s="287"/>
      <c r="I820" s="302"/>
      <c r="J820" s="303">
        <f t="shared" si="176"/>
        <v>0</v>
      </c>
    </row>
    <row r="821" s="106" customFormat="1" ht="20.1" customHeight="1" spans="1:10">
      <c r="A821" s="279" t="s">
        <v>2725</v>
      </c>
      <c r="B821" s="41" t="s">
        <v>2726</v>
      </c>
      <c r="C821" s="287">
        <v>0</v>
      </c>
      <c r="D821" s="288">
        <f t="shared" si="170"/>
        <v>0</v>
      </c>
      <c r="E821" s="287"/>
      <c r="F821" s="287"/>
      <c r="G821" s="287"/>
      <c r="H821" s="287"/>
      <c r="I821" s="302"/>
      <c r="J821" s="303">
        <f t="shared" si="176"/>
        <v>0</v>
      </c>
    </row>
    <row r="822" s="107" customFormat="1" ht="20.1" customHeight="1" spans="1:10">
      <c r="A822" s="283" t="s">
        <v>719</v>
      </c>
      <c r="B822" s="323" t="s">
        <v>2727</v>
      </c>
      <c r="C822" s="285">
        <f t="shared" ref="C822:I822" si="180">C823</f>
        <v>0</v>
      </c>
      <c r="D822" s="285">
        <f t="shared" si="170"/>
        <v>0</v>
      </c>
      <c r="E822" s="285">
        <f t="shared" si="180"/>
        <v>0</v>
      </c>
      <c r="F822" s="285">
        <f t="shared" si="180"/>
        <v>0</v>
      </c>
      <c r="G822" s="285">
        <f t="shared" si="180"/>
        <v>0</v>
      </c>
      <c r="H822" s="285">
        <f t="shared" si="180"/>
        <v>0</v>
      </c>
      <c r="I822" s="285">
        <f t="shared" si="180"/>
        <v>0</v>
      </c>
      <c r="J822" s="324">
        <f t="shared" si="176"/>
        <v>0</v>
      </c>
    </row>
    <row r="823" s="106" customFormat="1" ht="20.1" customHeight="1" spans="1:10">
      <c r="A823" s="279" t="s">
        <v>2728</v>
      </c>
      <c r="B823" s="289" t="s">
        <v>2729</v>
      </c>
      <c r="C823" s="287"/>
      <c r="D823" s="287">
        <f t="shared" si="170"/>
        <v>0</v>
      </c>
      <c r="E823" s="287"/>
      <c r="F823" s="287"/>
      <c r="G823" s="287"/>
      <c r="H823" s="287"/>
      <c r="I823" s="287"/>
      <c r="J823" s="236"/>
    </row>
    <row r="824" s="107" customFormat="1" ht="20.1" customHeight="1" spans="1:10">
      <c r="A824" s="283" t="s">
        <v>720</v>
      </c>
      <c r="B824" s="323" t="s">
        <v>2730</v>
      </c>
      <c r="C824" s="285">
        <f t="shared" ref="C824:I824" si="181">C825</f>
        <v>0</v>
      </c>
      <c r="D824" s="285">
        <f t="shared" si="170"/>
        <v>61</v>
      </c>
      <c r="E824" s="285">
        <f t="shared" si="181"/>
        <v>0</v>
      </c>
      <c r="F824" s="285">
        <f t="shared" si="181"/>
        <v>0</v>
      </c>
      <c r="G824" s="285">
        <f t="shared" si="181"/>
        <v>61</v>
      </c>
      <c r="H824" s="285">
        <f t="shared" si="181"/>
        <v>0</v>
      </c>
      <c r="I824" s="285">
        <f t="shared" si="181"/>
        <v>0</v>
      </c>
      <c r="J824" s="324">
        <f t="shared" ref="J824:J832" si="182">ROUND(IF(C824=0,IF(D824=0,0,1),IF(D824=0,-1,D824/C824)),4)*100</f>
        <v>100</v>
      </c>
    </row>
    <row r="825" s="106" customFormat="1" ht="20.1" customHeight="1" spans="1:10">
      <c r="A825" s="279" t="s">
        <v>2731</v>
      </c>
      <c r="B825" s="289" t="s">
        <v>2732</v>
      </c>
      <c r="C825" s="287"/>
      <c r="D825" s="287">
        <f t="shared" si="170"/>
        <v>61</v>
      </c>
      <c r="E825" s="287"/>
      <c r="F825" s="287"/>
      <c r="G825" s="287">
        <v>61</v>
      </c>
      <c r="H825" s="287"/>
      <c r="I825" s="287"/>
      <c r="J825" s="236"/>
    </row>
    <row r="826" s="107" customFormat="1" ht="20.1" customHeight="1" spans="1:10">
      <c r="A826" s="283" t="s">
        <v>721</v>
      </c>
      <c r="B826" s="323" t="s">
        <v>2733</v>
      </c>
      <c r="C826" s="285">
        <f t="shared" ref="C826:I826" si="183">SUM(C827:C831)</f>
        <v>31</v>
      </c>
      <c r="D826" s="285">
        <f t="shared" si="170"/>
        <v>100</v>
      </c>
      <c r="E826" s="285">
        <f t="shared" si="183"/>
        <v>0</v>
      </c>
      <c r="F826" s="285">
        <f t="shared" si="183"/>
        <v>0</v>
      </c>
      <c r="G826" s="285">
        <f t="shared" si="183"/>
        <v>0</v>
      </c>
      <c r="H826" s="285">
        <f t="shared" si="183"/>
        <v>0</v>
      </c>
      <c r="I826" s="285">
        <f t="shared" si="183"/>
        <v>100</v>
      </c>
      <c r="J826" s="324">
        <f t="shared" si="182"/>
        <v>322.58</v>
      </c>
    </row>
    <row r="827" s="106" customFormat="1" ht="20.1" customHeight="1" spans="1:10">
      <c r="A827" s="279" t="s">
        <v>2734</v>
      </c>
      <c r="B827" s="41" t="s">
        <v>2735</v>
      </c>
      <c r="C827" s="287">
        <v>31</v>
      </c>
      <c r="D827" s="288">
        <f t="shared" si="170"/>
        <v>100</v>
      </c>
      <c r="E827" s="287"/>
      <c r="F827" s="287"/>
      <c r="G827" s="287"/>
      <c r="H827" s="287"/>
      <c r="I827" s="302">
        <v>100</v>
      </c>
      <c r="J827" s="303">
        <f t="shared" si="182"/>
        <v>322.58</v>
      </c>
    </row>
    <row r="828" s="106" customFormat="1" ht="20.1" customHeight="1" spans="1:10">
      <c r="A828" s="279" t="s">
        <v>2736</v>
      </c>
      <c r="B828" s="41" t="s">
        <v>2737</v>
      </c>
      <c r="C828" s="287"/>
      <c r="D828" s="288">
        <f t="shared" si="170"/>
        <v>0</v>
      </c>
      <c r="E828" s="287"/>
      <c r="F828" s="287"/>
      <c r="G828" s="287"/>
      <c r="H828" s="287"/>
      <c r="I828" s="302"/>
      <c r="J828" s="303">
        <f t="shared" si="182"/>
        <v>0</v>
      </c>
    </row>
    <row r="829" s="106" customFormat="1" ht="20.1" customHeight="1" spans="1:10">
      <c r="A829" s="279" t="s">
        <v>2738</v>
      </c>
      <c r="B829" s="41" t="s">
        <v>2739</v>
      </c>
      <c r="C829" s="287"/>
      <c r="D829" s="288">
        <f t="shared" si="170"/>
        <v>0</v>
      </c>
      <c r="E829" s="287"/>
      <c r="F829" s="287"/>
      <c r="G829" s="287"/>
      <c r="H829" s="287"/>
      <c r="I829" s="302"/>
      <c r="J829" s="303">
        <f t="shared" si="182"/>
        <v>0</v>
      </c>
    </row>
    <row r="830" s="106" customFormat="1" ht="20.1" customHeight="1" spans="1:10">
      <c r="A830" s="279" t="s">
        <v>2740</v>
      </c>
      <c r="B830" s="41" t="s">
        <v>2741</v>
      </c>
      <c r="C830" s="287"/>
      <c r="D830" s="288">
        <f t="shared" si="170"/>
        <v>0</v>
      </c>
      <c r="E830" s="287"/>
      <c r="F830" s="287"/>
      <c r="G830" s="287"/>
      <c r="H830" s="287"/>
      <c r="I830" s="302"/>
      <c r="J830" s="303">
        <f t="shared" si="182"/>
        <v>0</v>
      </c>
    </row>
    <row r="831" s="106" customFormat="1" ht="20.1" customHeight="1" spans="1:10">
      <c r="A831" s="279" t="s">
        <v>2742</v>
      </c>
      <c r="B831" s="41" t="s">
        <v>2743</v>
      </c>
      <c r="C831" s="287"/>
      <c r="D831" s="288">
        <f t="shared" si="170"/>
        <v>0</v>
      </c>
      <c r="E831" s="287"/>
      <c r="F831" s="287"/>
      <c r="G831" s="287"/>
      <c r="H831" s="287"/>
      <c r="I831" s="302"/>
      <c r="J831" s="303">
        <f t="shared" si="182"/>
        <v>0</v>
      </c>
    </row>
    <row r="832" s="107" customFormat="1" ht="20.1" customHeight="1" spans="1:10">
      <c r="A832" s="283" t="s">
        <v>722</v>
      </c>
      <c r="B832" s="323" t="s">
        <v>2744</v>
      </c>
      <c r="C832" s="285">
        <f t="shared" ref="C832:I832" si="184">SUM(C833:C834)</f>
        <v>18</v>
      </c>
      <c r="D832" s="285">
        <f t="shared" si="170"/>
        <v>0</v>
      </c>
      <c r="E832" s="285">
        <f t="shared" si="184"/>
        <v>0</v>
      </c>
      <c r="F832" s="285">
        <f t="shared" si="184"/>
        <v>0</v>
      </c>
      <c r="G832" s="285">
        <f t="shared" si="184"/>
        <v>0</v>
      </c>
      <c r="H832" s="285">
        <f t="shared" si="184"/>
        <v>0</v>
      </c>
      <c r="I832" s="285">
        <f t="shared" si="184"/>
        <v>0</v>
      </c>
      <c r="J832" s="324">
        <f t="shared" si="182"/>
        <v>-100</v>
      </c>
    </row>
    <row r="833" s="107" customFormat="1" ht="20.1" customHeight="1" spans="1:10">
      <c r="A833" s="279" t="s">
        <v>2745</v>
      </c>
      <c r="B833" s="41" t="s">
        <v>2746</v>
      </c>
      <c r="C833" s="288">
        <v>18</v>
      </c>
      <c r="D833" s="288">
        <f t="shared" si="170"/>
        <v>0</v>
      </c>
      <c r="E833" s="288"/>
      <c r="F833" s="288"/>
      <c r="G833" s="288"/>
      <c r="H833" s="288"/>
      <c r="I833" s="288"/>
      <c r="J833" s="344"/>
    </row>
    <row r="834" s="106" customFormat="1" ht="20.1" customHeight="1" spans="1:10">
      <c r="A834" s="279" t="s">
        <v>2747</v>
      </c>
      <c r="B834" s="41" t="s">
        <v>2748</v>
      </c>
      <c r="C834" s="287">
        <v>0</v>
      </c>
      <c r="D834" s="288">
        <f t="shared" si="170"/>
        <v>0</v>
      </c>
      <c r="E834" s="287"/>
      <c r="F834" s="287"/>
      <c r="G834" s="287"/>
      <c r="H834" s="287"/>
      <c r="I834" s="302"/>
      <c r="J834" s="303"/>
    </row>
    <row r="835" s="107" customFormat="1" ht="20.1" customHeight="1" spans="1:10">
      <c r="A835" s="283" t="s">
        <v>723</v>
      </c>
      <c r="B835" s="323" t="s">
        <v>2749</v>
      </c>
      <c r="C835" s="285">
        <f t="shared" ref="C835:I835" si="185">C836</f>
        <v>0</v>
      </c>
      <c r="D835" s="285">
        <f t="shared" si="170"/>
        <v>0</v>
      </c>
      <c r="E835" s="285">
        <f t="shared" si="185"/>
        <v>0</v>
      </c>
      <c r="F835" s="285">
        <f t="shared" si="185"/>
        <v>0</v>
      </c>
      <c r="G835" s="285">
        <f t="shared" si="185"/>
        <v>0</v>
      </c>
      <c r="H835" s="285">
        <f t="shared" si="185"/>
        <v>0</v>
      </c>
      <c r="I835" s="285">
        <f t="shared" si="185"/>
        <v>0</v>
      </c>
      <c r="J835" s="324">
        <f t="shared" ref="J835:J848" si="186">ROUND(IF(C835=0,IF(D835=0,0,1),IF(D835=0,-1,D835/C835)),4)*100</f>
        <v>0</v>
      </c>
    </row>
    <row r="836" s="106" customFormat="1" ht="20.1" customHeight="1" spans="1:10">
      <c r="A836" s="279" t="s">
        <v>2750</v>
      </c>
      <c r="B836" s="289" t="s">
        <v>2751</v>
      </c>
      <c r="C836" s="287"/>
      <c r="D836" s="287">
        <f t="shared" si="170"/>
        <v>0</v>
      </c>
      <c r="E836" s="287"/>
      <c r="F836" s="287"/>
      <c r="G836" s="287"/>
      <c r="H836" s="287"/>
      <c r="I836" s="287"/>
      <c r="J836" s="236"/>
    </row>
    <row r="837" s="107" customFormat="1" ht="20.1" customHeight="1" spans="1:10">
      <c r="A837" s="283" t="s">
        <v>724</v>
      </c>
      <c r="B837" s="323" t="s">
        <v>2752</v>
      </c>
      <c r="C837" s="285">
        <f t="shared" ref="C837:I837" si="187">SUM(C838:C847)</f>
        <v>0</v>
      </c>
      <c r="D837" s="285">
        <f t="shared" si="187"/>
        <v>7</v>
      </c>
      <c r="E837" s="285">
        <f t="shared" si="187"/>
        <v>0</v>
      </c>
      <c r="F837" s="285">
        <f t="shared" si="187"/>
        <v>0</v>
      </c>
      <c r="G837" s="285">
        <f t="shared" si="187"/>
        <v>0</v>
      </c>
      <c r="H837" s="285">
        <f t="shared" si="187"/>
        <v>0</v>
      </c>
      <c r="I837" s="285">
        <f t="shared" si="187"/>
        <v>7</v>
      </c>
      <c r="J837" s="324">
        <f t="shared" si="186"/>
        <v>100</v>
      </c>
    </row>
    <row r="838" s="106" customFormat="1" ht="20.1" customHeight="1" spans="1:10">
      <c r="A838" s="279" t="s">
        <v>2753</v>
      </c>
      <c r="B838" s="41" t="s">
        <v>1458</v>
      </c>
      <c r="C838" s="287">
        <v>0</v>
      </c>
      <c r="D838" s="288">
        <f t="shared" ref="D838:D901" si="188">SUM(E838:I838)</f>
        <v>0</v>
      </c>
      <c r="E838" s="287"/>
      <c r="F838" s="287"/>
      <c r="G838" s="287"/>
      <c r="H838" s="287"/>
      <c r="I838" s="302"/>
      <c r="J838" s="303">
        <f t="shared" si="186"/>
        <v>0</v>
      </c>
    </row>
    <row r="839" s="106" customFormat="1" ht="20.1" customHeight="1" spans="1:10">
      <c r="A839" s="279" t="s">
        <v>2754</v>
      </c>
      <c r="B839" s="41" t="s">
        <v>1460</v>
      </c>
      <c r="C839" s="287">
        <v>0</v>
      </c>
      <c r="D839" s="288">
        <f t="shared" si="188"/>
        <v>0</v>
      </c>
      <c r="E839" s="287"/>
      <c r="F839" s="287"/>
      <c r="G839" s="287"/>
      <c r="H839" s="287"/>
      <c r="I839" s="302"/>
      <c r="J839" s="303">
        <f t="shared" si="186"/>
        <v>0</v>
      </c>
    </row>
    <row r="840" s="106" customFormat="1" ht="20.1" customHeight="1" spans="1:10">
      <c r="A840" s="279" t="s">
        <v>2755</v>
      </c>
      <c r="B840" s="41" t="s">
        <v>1462</v>
      </c>
      <c r="C840" s="287">
        <v>0</v>
      </c>
      <c r="D840" s="288">
        <f t="shared" si="188"/>
        <v>0</v>
      </c>
      <c r="E840" s="287"/>
      <c r="F840" s="287"/>
      <c r="G840" s="287"/>
      <c r="H840" s="287"/>
      <c r="I840" s="302"/>
      <c r="J840" s="303">
        <f t="shared" si="186"/>
        <v>0</v>
      </c>
    </row>
    <row r="841" s="106" customFormat="1" ht="20.1" customHeight="1" spans="1:10">
      <c r="A841" s="279" t="s">
        <v>2756</v>
      </c>
      <c r="B841" s="41" t="s">
        <v>2757</v>
      </c>
      <c r="C841" s="287">
        <v>0</v>
      </c>
      <c r="D841" s="288">
        <f t="shared" si="188"/>
        <v>0</v>
      </c>
      <c r="E841" s="287"/>
      <c r="F841" s="287"/>
      <c r="G841" s="287"/>
      <c r="H841" s="287"/>
      <c r="I841" s="302"/>
      <c r="J841" s="303">
        <f t="shared" si="186"/>
        <v>0</v>
      </c>
    </row>
    <row r="842" s="106" customFormat="1" ht="20.1" customHeight="1" spans="1:10">
      <c r="A842" s="279" t="s">
        <v>2758</v>
      </c>
      <c r="B842" s="41" t="s">
        <v>2759</v>
      </c>
      <c r="C842" s="287">
        <v>0</v>
      </c>
      <c r="D842" s="288">
        <f t="shared" si="188"/>
        <v>0</v>
      </c>
      <c r="E842" s="287"/>
      <c r="F842" s="287"/>
      <c r="G842" s="287"/>
      <c r="H842" s="287"/>
      <c r="I842" s="302"/>
      <c r="J842" s="303">
        <f t="shared" si="186"/>
        <v>0</v>
      </c>
    </row>
    <row r="843" s="106" customFormat="1" ht="20.1" customHeight="1" spans="1:10">
      <c r="A843" s="279" t="s">
        <v>2760</v>
      </c>
      <c r="B843" s="41" t="s">
        <v>2761</v>
      </c>
      <c r="C843" s="287">
        <v>0</v>
      </c>
      <c r="D843" s="288">
        <f t="shared" si="188"/>
        <v>0</v>
      </c>
      <c r="E843" s="287"/>
      <c r="F843" s="287"/>
      <c r="G843" s="287"/>
      <c r="H843" s="287"/>
      <c r="I843" s="302"/>
      <c r="J843" s="303">
        <f t="shared" si="186"/>
        <v>0</v>
      </c>
    </row>
    <row r="844" s="106" customFormat="1" ht="20.1" customHeight="1" spans="1:10">
      <c r="A844" s="279" t="s">
        <v>2762</v>
      </c>
      <c r="B844" s="41" t="s">
        <v>1553</v>
      </c>
      <c r="C844" s="287"/>
      <c r="D844" s="288">
        <f t="shared" si="188"/>
        <v>7</v>
      </c>
      <c r="E844" s="287"/>
      <c r="F844" s="287"/>
      <c r="G844" s="287"/>
      <c r="H844" s="287"/>
      <c r="I844" s="302">
        <v>7</v>
      </c>
      <c r="J844" s="303">
        <f t="shared" si="186"/>
        <v>100</v>
      </c>
    </row>
    <row r="845" s="106" customFormat="1" ht="20.1" customHeight="1" spans="1:10">
      <c r="A845" s="279" t="s">
        <v>2763</v>
      </c>
      <c r="B845" s="41" t="s">
        <v>2764</v>
      </c>
      <c r="C845" s="287">
        <v>0</v>
      </c>
      <c r="D845" s="288">
        <f t="shared" si="188"/>
        <v>0</v>
      </c>
      <c r="E845" s="287"/>
      <c r="F845" s="287"/>
      <c r="G845" s="287"/>
      <c r="H845" s="287"/>
      <c r="I845" s="302"/>
      <c r="J845" s="303">
        <f t="shared" si="186"/>
        <v>0</v>
      </c>
    </row>
    <row r="846" s="106" customFormat="1" ht="20.1" customHeight="1" spans="1:10">
      <c r="A846" s="279" t="s">
        <v>2765</v>
      </c>
      <c r="B846" s="41" t="s">
        <v>1476</v>
      </c>
      <c r="C846" s="287">
        <v>0</v>
      </c>
      <c r="D846" s="288">
        <f t="shared" si="188"/>
        <v>0</v>
      </c>
      <c r="E846" s="287"/>
      <c r="F846" s="287"/>
      <c r="G846" s="287"/>
      <c r="H846" s="287"/>
      <c r="I846" s="302"/>
      <c r="J846" s="303">
        <f t="shared" si="186"/>
        <v>0</v>
      </c>
    </row>
    <row r="847" s="106" customFormat="1" ht="20.1" customHeight="1" spans="1:10">
      <c r="A847" s="279" t="s">
        <v>2766</v>
      </c>
      <c r="B847" s="41" t="s">
        <v>2767</v>
      </c>
      <c r="C847" s="287">
        <v>0</v>
      </c>
      <c r="D847" s="288">
        <f t="shared" si="188"/>
        <v>0</v>
      </c>
      <c r="E847" s="287"/>
      <c r="F847" s="287"/>
      <c r="G847" s="287"/>
      <c r="H847" s="287"/>
      <c r="I847" s="302"/>
      <c r="J847" s="303">
        <f t="shared" si="186"/>
        <v>0</v>
      </c>
    </row>
    <row r="848" s="107" customFormat="1" ht="20.1" customHeight="1" spans="1:10">
      <c r="A848" s="283" t="s">
        <v>725</v>
      </c>
      <c r="B848" s="323" t="s">
        <v>2768</v>
      </c>
      <c r="C848" s="285">
        <f t="shared" ref="C848:I848" si="189">C849</f>
        <v>0</v>
      </c>
      <c r="D848" s="285">
        <f t="shared" si="188"/>
        <v>0</v>
      </c>
      <c r="E848" s="285">
        <f t="shared" si="189"/>
        <v>0</v>
      </c>
      <c r="F848" s="285">
        <f t="shared" si="189"/>
        <v>0</v>
      </c>
      <c r="G848" s="285">
        <f t="shared" si="189"/>
        <v>0</v>
      </c>
      <c r="H848" s="285">
        <f t="shared" si="189"/>
        <v>0</v>
      </c>
      <c r="I848" s="285">
        <f t="shared" si="189"/>
        <v>0</v>
      </c>
      <c r="J848" s="324">
        <f t="shared" si="186"/>
        <v>0</v>
      </c>
    </row>
    <row r="849" s="106" customFormat="1" ht="20.1" customHeight="1" spans="1:10">
      <c r="A849" s="279" t="s">
        <v>2769</v>
      </c>
      <c r="B849" s="289" t="s">
        <v>2770</v>
      </c>
      <c r="C849" s="287"/>
      <c r="D849" s="287">
        <f t="shared" si="188"/>
        <v>0</v>
      </c>
      <c r="E849" s="287"/>
      <c r="F849" s="287"/>
      <c r="G849" s="287"/>
      <c r="H849" s="287"/>
      <c r="I849" s="287"/>
      <c r="J849" s="236"/>
    </row>
    <row r="850" s="107" customFormat="1" ht="20.1" customHeight="1" spans="1:10">
      <c r="A850" s="280" t="s">
        <v>726</v>
      </c>
      <c r="B850" s="281" t="s">
        <v>727</v>
      </c>
      <c r="C850" s="282">
        <f t="shared" ref="C850:I850" si="190">C851+C862+C864+C867+C869+C871</f>
        <v>4950</v>
      </c>
      <c r="D850" s="282">
        <f t="shared" si="188"/>
        <v>5576</v>
      </c>
      <c r="E850" s="282">
        <f t="shared" si="190"/>
        <v>911</v>
      </c>
      <c r="F850" s="282">
        <f t="shared" si="190"/>
        <v>0</v>
      </c>
      <c r="G850" s="282">
        <f t="shared" si="190"/>
        <v>1208</v>
      </c>
      <c r="H850" s="282">
        <f t="shared" si="190"/>
        <v>0</v>
      </c>
      <c r="I850" s="282">
        <f t="shared" si="190"/>
        <v>3457</v>
      </c>
      <c r="J850" s="296">
        <f t="shared" ref="J850:J862" si="191">ROUND(IF(C850=0,IF(D850=0,0,1),IF(D850=0,-1,D850/C850)),4)*100</f>
        <v>112.65</v>
      </c>
    </row>
    <row r="851" s="107" customFormat="1" ht="20.1" customHeight="1" spans="1:10">
      <c r="A851" s="283" t="s">
        <v>728</v>
      </c>
      <c r="B851" s="323" t="s">
        <v>2771</v>
      </c>
      <c r="C851" s="285">
        <f t="shared" ref="C851:I851" si="192">SUM(C852:C861)</f>
        <v>2373</v>
      </c>
      <c r="D851" s="285">
        <f t="shared" si="188"/>
        <v>2693</v>
      </c>
      <c r="E851" s="285">
        <f t="shared" si="192"/>
        <v>0</v>
      </c>
      <c r="F851" s="285">
        <f t="shared" si="192"/>
        <v>0</v>
      </c>
      <c r="G851" s="285">
        <f t="shared" si="192"/>
        <v>0</v>
      </c>
      <c r="H851" s="285">
        <f t="shared" si="192"/>
        <v>0</v>
      </c>
      <c r="I851" s="285">
        <f t="shared" si="192"/>
        <v>2693</v>
      </c>
      <c r="J851" s="324">
        <f t="shared" si="191"/>
        <v>113.49</v>
      </c>
    </row>
    <row r="852" s="106" customFormat="1" ht="20.1" customHeight="1" spans="1:10">
      <c r="A852" s="279" t="s">
        <v>2772</v>
      </c>
      <c r="B852" s="41" t="s">
        <v>1458</v>
      </c>
      <c r="C852" s="287">
        <v>395</v>
      </c>
      <c r="D852" s="288">
        <f t="shared" si="188"/>
        <v>379</v>
      </c>
      <c r="E852" s="287"/>
      <c r="F852" s="287"/>
      <c r="G852" s="287"/>
      <c r="H852" s="287"/>
      <c r="I852" s="302">
        <v>379</v>
      </c>
      <c r="J852" s="303">
        <f t="shared" si="191"/>
        <v>95.95</v>
      </c>
    </row>
    <row r="853" s="106" customFormat="1" ht="20.1" customHeight="1" spans="1:10">
      <c r="A853" s="279" t="s">
        <v>2773</v>
      </c>
      <c r="B853" s="41" t="s">
        <v>1460</v>
      </c>
      <c r="C853" s="287"/>
      <c r="D853" s="288">
        <f t="shared" si="188"/>
        <v>0</v>
      </c>
      <c r="E853" s="287"/>
      <c r="F853" s="287"/>
      <c r="G853" s="287"/>
      <c r="H853" s="287"/>
      <c r="I853" s="302"/>
      <c r="J853" s="303">
        <f t="shared" si="191"/>
        <v>0</v>
      </c>
    </row>
    <row r="854" s="106" customFormat="1" ht="20.1" customHeight="1" spans="1:10">
      <c r="A854" s="279" t="s">
        <v>2774</v>
      </c>
      <c r="B854" s="41" t="s">
        <v>1462</v>
      </c>
      <c r="C854" s="287"/>
      <c r="D854" s="288">
        <f t="shared" si="188"/>
        <v>0</v>
      </c>
      <c r="E854" s="287"/>
      <c r="F854" s="287"/>
      <c r="G854" s="287"/>
      <c r="H854" s="287"/>
      <c r="I854" s="302"/>
      <c r="J854" s="303">
        <f t="shared" si="191"/>
        <v>0</v>
      </c>
    </row>
    <row r="855" s="106" customFormat="1" ht="20.1" customHeight="1" spans="1:10">
      <c r="A855" s="279" t="s">
        <v>2775</v>
      </c>
      <c r="B855" s="41" t="s">
        <v>2776</v>
      </c>
      <c r="C855" s="287">
        <v>757</v>
      </c>
      <c r="D855" s="288">
        <f t="shared" si="188"/>
        <v>956</v>
      </c>
      <c r="E855" s="287"/>
      <c r="F855" s="287"/>
      <c r="G855" s="287"/>
      <c r="H855" s="287"/>
      <c r="I855" s="302">
        <v>956</v>
      </c>
      <c r="J855" s="303">
        <f t="shared" si="191"/>
        <v>126.29</v>
      </c>
    </row>
    <row r="856" s="106" customFormat="1" ht="20.1" customHeight="1" spans="1:10">
      <c r="A856" s="279" t="s">
        <v>2777</v>
      </c>
      <c r="B856" s="41" t="s">
        <v>2778</v>
      </c>
      <c r="C856" s="287"/>
      <c r="D856" s="288">
        <f t="shared" si="188"/>
        <v>0</v>
      </c>
      <c r="E856" s="287"/>
      <c r="F856" s="287"/>
      <c r="G856" s="287"/>
      <c r="H856" s="287"/>
      <c r="I856" s="302"/>
      <c r="J856" s="303">
        <f t="shared" si="191"/>
        <v>0</v>
      </c>
    </row>
    <row r="857" s="106" customFormat="1" ht="20.1" customHeight="1" spans="1:10">
      <c r="A857" s="279" t="s">
        <v>2779</v>
      </c>
      <c r="B857" s="41" t="s">
        <v>2780</v>
      </c>
      <c r="C857" s="287"/>
      <c r="D857" s="288">
        <f t="shared" si="188"/>
        <v>0</v>
      </c>
      <c r="E857" s="287"/>
      <c r="F857" s="287"/>
      <c r="G857" s="287"/>
      <c r="H857" s="287"/>
      <c r="I857" s="302"/>
      <c r="J857" s="303">
        <f t="shared" si="191"/>
        <v>0</v>
      </c>
    </row>
    <row r="858" s="106" customFormat="1" ht="20.1" customHeight="1" spans="1:10">
      <c r="A858" s="279" t="s">
        <v>2781</v>
      </c>
      <c r="B858" s="41" t="s">
        <v>2782</v>
      </c>
      <c r="C858" s="287"/>
      <c r="D858" s="288">
        <f t="shared" si="188"/>
        <v>0</v>
      </c>
      <c r="E858" s="287"/>
      <c r="F858" s="287"/>
      <c r="G858" s="287"/>
      <c r="H858" s="287"/>
      <c r="I858" s="302"/>
      <c r="J858" s="303">
        <f t="shared" si="191"/>
        <v>0</v>
      </c>
    </row>
    <row r="859" s="106" customFormat="1" ht="20.1" customHeight="1" spans="1:10">
      <c r="A859" s="279" t="s">
        <v>2783</v>
      </c>
      <c r="B859" s="41" t="s">
        <v>2784</v>
      </c>
      <c r="C859" s="287"/>
      <c r="D859" s="288">
        <f t="shared" si="188"/>
        <v>0</v>
      </c>
      <c r="E859" s="287"/>
      <c r="F859" s="287"/>
      <c r="G859" s="287"/>
      <c r="H859" s="287"/>
      <c r="I859" s="302"/>
      <c r="J859" s="303">
        <f t="shared" si="191"/>
        <v>0</v>
      </c>
    </row>
    <row r="860" s="106" customFormat="1" ht="20.1" customHeight="1" spans="1:10">
      <c r="A860" s="279" t="s">
        <v>2785</v>
      </c>
      <c r="B860" s="41" t="s">
        <v>2786</v>
      </c>
      <c r="C860" s="287"/>
      <c r="D860" s="288">
        <f t="shared" si="188"/>
        <v>0</v>
      </c>
      <c r="E860" s="287"/>
      <c r="F860" s="287"/>
      <c r="G860" s="287"/>
      <c r="H860" s="287"/>
      <c r="I860" s="302"/>
      <c r="J860" s="303">
        <f t="shared" si="191"/>
        <v>0</v>
      </c>
    </row>
    <row r="861" s="106" customFormat="1" ht="20.1" customHeight="1" spans="1:10">
      <c r="A861" s="279" t="s">
        <v>2787</v>
      </c>
      <c r="B861" s="41" t="s">
        <v>2788</v>
      </c>
      <c r="C861" s="287">
        <v>1221</v>
      </c>
      <c r="D861" s="288">
        <f t="shared" si="188"/>
        <v>1358</v>
      </c>
      <c r="E861" s="287"/>
      <c r="F861" s="287"/>
      <c r="G861" s="287"/>
      <c r="H861" s="287"/>
      <c r="I861" s="302">
        <v>1358</v>
      </c>
      <c r="J861" s="303">
        <f t="shared" si="191"/>
        <v>111.22</v>
      </c>
    </row>
    <row r="862" s="107" customFormat="1" ht="20.1" customHeight="1" spans="1:10">
      <c r="A862" s="283" t="s">
        <v>730</v>
      </c>
      <c r="B862" s="323" t="s">
        <v>2789</v>
      </c>
      <c r="C862" s="285">
        <f t="shared" ref="C862:I862" si="193">C863</f>
        <v>0</v>
      </c>
      <c r="D862" s="285">
        <f t="shared" si="188"/>
        <v>0</v>
      </c>
      <c r="E862" s="285">
        <f t="shared" si="193"/>
        <v>0</v>
      </c>
      <c r="F862" s="285">
        <f t="shared" si="193"/>
        <v>0</v>
      </c>
      <c r="G862" s="285">
        <f t="shared" si="193"/>
        <v>0</v>
      </c>
      <c r="H862" s="285">
        <f t="shared" si="193"/>
        <v>0</v>
      </c>
      <c r="I862" s="285">
        <f t="shared" si="193"/>
        <v>0</v>
      </c>
      <c r="J862" s="324">
        <f t="shared" si="191"/>
        <v>0</v>
      </c>
    </row>
    <row r="863" s="106" customFormat="1" ht="20.1" customHeight="1" spans="1:10">
      <c r="A863" s="279" t="s">
        <v>2790</v>
      </c>
      <c r="B863" s="289" t="s">
        <v>731</v>
      </c>
      <c r="C863" s="287"/>
      <c r="D863" s="287">
        <f t="shared" si="188"/>
        <v>0</v>
      </c>
      <c r="E863" s="287"/>
      <c r="F863" s="287"/>
      <c r="G863" s="287"/>
      <c r="H863" s="287"/>
      <c r="I863" s="287"/>
      <c r="J863" s="236"/>
    </row>
    <row r="864" s="107" customFormat="1" ht="20.1" customHeight="1" spans="1:10">
      <c r="A864" s="283" t="s">
        <v>732</v>
      </c>
      <c r="B864" s="323" t="s">
        <v>2791</v>
      </c>
      <c r="C864" s="285">
        <f t="shared" ref="C864:I864" si="194">SUM(C865:C866)</f>
        <v>728</v>
      </c>
      <c r="D864" s="285">
        <f t="shared" si="188"/>
        <v>1919</v>
      </c>
      <c r="E864" s="285">
        <f t="shared" si="194"/>
        <v>911</v>
      </c>
      <c r="F864" s="285">
        <f t="shared" si="194"/>
        <v>0</v>
      </c>
      <c r="G864" s="285">
        <f t="shared" si="194"/>
        <v>933</v>
      </c>
      <c r="H864" s="285">
        <f t="shared" si="194"/>
        <v>0</v>
      </c>
      <c r="I864" s="285">
        <f t="shared" si="194"/>
        <v>75</v>
      </c>
      <c r="J864" s="324">
        <f t="shared" ref="J864:J867" si="195">ROUND(IF(C864=0,IF(D864=0,0,1),IF(D864=0,-1,D864/C864)),4)*100</f>
        <v>263.6</v>
      </c>
    </row>
    <row r="865" s="106" customFormat="1" ht="20.1" customHeight="1" spans="1:10">
      <c r="A865" s="279" t="s">
        <v>2792</v>
      </c>
      <c r="B865" s="41" t="s">
        <v>2793</v>
      </c>
      <c r="C865" s="287">
        <v>148</v>
      </c>
      <c r="D865" s="288">
        <f t="shared" si="188"/>
        <v>44</v>
      </c>
      <c r="E865" s="287"/>
      <c r="F865" s="287"/>
      <c r="G865" s="287">
        <v>44</v>
      </c>
      <c r="H865" s="287"/>
      <c r="I865" s="302"/>
      <c r="J865" s="303">
        <f t="shared" si="195"/>
        <v>29.73</v>
      </c>
    </row>
    <row r="866" s="106" customFormat="1" ht="20.1" customHeight="1" spans="1:10">
      <c r="A866" s="279" t="s">
        <v>2794</v>
      </c>
      <c r="B866" s="41" t="s">
        <v>2795</v>
      </c>
      <c r="C866" s="287">
        <v>580</v>
      </c>
      <c r="D866" s="288">
        <f t="shared" si="188"/>
        <v>1875</v>
      </c>
      <c r="E866" s="287">
        <v>911</v>
      </c>
      <c r="F866" s="287"/>
      <c r="G866" s="287">
        <v>889</v>
      </c>
      <c r="H866" s="287"/>
      <c r="I866" s="302">
        <v>75</v>
      </c>
      <c r="J866" s="303">
        <f t="shared" si="195"/>
        <v>323.28</v>
      </c>
    </row>
    <row r="867" s="107" customFormat="1" ht="20.1" customHeight="1" spans="1:10">
      <c r="A867" s="283" t="s">
        <v>734</v>
      </c>
      <c r="B867" s="323" t="s">
        <v>2796</v>
      </c>
      <c r="C867" s="285">
        <f t="shared" ref="C867:I867" si="196">SUM(C868)</f>
        <v>526</v>
      </c>
      <c r="D867" s="285">
        <f t="shared" si="188"/>
        <v>547</v>
      </c>
      <c r="E867" s="285">
        <f t="shared" si="196"/>
        <v>0</v>
      </c>
      <c r="F867" s="285">
        <f t="shared" si="196"/>
        <v>0</v>
      </c>
      <c r="G867" s="285">
        <f t="shared" si="196"/>
        <v>55</v>
      </c>
      <c r="H867" s="285">
        <f t="shared" si="196"/>
        <v>0</v>
      </c>
      <c r="I867" s="285">
        <f t="shared" si="196"/>
        <v>492</v>
      </c>
      <c r="J867" s="324">
        <f t="shared" si="195"/>
        <v>103.99</v>
      </c>
    </row>
    <row r="868" s="106" customFormat="1" ht="20.1" customHeight="1" spans="1:10">
      <c r="A868" s="279" t="s">
        <v>2797</v>
      </c>
      <c r="B868" s="41" t="s">
        <v>735</v>
      </c>
      <c r="C868" s="287">
        <v>526</v>
      </c>
      <c r="D868" s="288">
        <f t="shared" si="188"/>
        <v>547</v>
      </c>
      <c r="E868" s="287"/>
      <c r="F868" s="287"/>
      <c r="G868" s="287">
        <v>55</v>
      </c>
      <c r="H868" s="287"/>
      <c r="I868" s="302">
        <v>492</v>
      </c>
      <c r="J868" s="303"/>
    </row>
    <row r="869" s="107" customFormat="1" ht="20.1" customHeight="1" spans="1:10">
      <c r="A869" s="283" t="s">
        <v>736</v>
      </c>
      <c r="B869" s="323" t="s">
        <v>2798</v>
      </c>
      <c r="C869" s="285">
        <f t="shared" ref="C869:I869" si="197">C870</f>
        <v>0</v>
      </c>
      <c r="D869" s="285">
        <f t="shared" si="188"/>
        <v>0</v>
      </c>
      <c r="E869" s="285">
        <f t="shared" si="197"/>
        <v>0</v>
      </c>
      <c r="F869" s="285">
        <f t="shared" si="197"/>
        <v>0</v>
      </c>
      <c r="G869" s="285">
        <f t="shared" si="197"/>
        <v>0</v>
      </c>
      <c r="H869" s="285">
        <f t="shared" si="197"/>
        <v>0</v>
      </c>
      <c r="I869" s="285">
        <f t="shared" si="197"/>
        <v>0</v>
      </c>
      <c r="J869" s="324">
        <f t="shared" ref="J869:J897" si="198">ROUND(IF(C869=0,IF(D869=0,0,1),IF(D869=0,-1,D869/C869)),4)*100</f>
        <v>0</v>
      </c>
    </row>
    <row r="870" s="106" customFormat="1" ht="20.1" customHeight="1" spans="1:10">
      <c r="A870" s="279" t="s">
        <v>2799</v>
      </c>
      <c r="B870" s="41" t="s">
        <v>737</v>
      </c>
      <c r="C870" s="287"/>
      <c r="D870" s="288">
        <f t="shared" si="188"/>
        <v>0</v>
      </c>
      <c r="E870" s="287"/>
      <c r="F870" s="287"/>
      <c r="G870" s="287"/>
      <c r="H870" s="287"/>
      <c r="I870" s="302"/>
      <c r="J870" s="303"/>
    </row>
    <row r="871" s="107" customFormat="1" ht="20.1" customHeight="1" spans="1:10">
      <c r="A871" s="283" t="s">
        <v>738</v>
      </c>
      <c r="B871" s="323" t="s">
        <v>2800</v>
      </c>
      <c r="C871" s="285">
        <f t="shared" ref="C871:I871" si="199">SUM(C872)</f>
        <v>1323</v>
      </c>
      <c r="D871" s="285">
        <f t="shared" si="188"/>
        <v>417</v>
      </c>
      <c r="E871" s="285">
        <f t="shared" si="199"/>
        <v>0</v>
      </c>
      <c r="F871" s="285">
        <f t="shared" si="199"/>
        <v>0</v>
      </c>
      <c r="G871" s="285">
        <f t="shared" si="199"/>
        <v>220</v>
      </c>
      <c r="H871" s="285">
        <f t="shared" si="199"/>
        <v>0</v>
      </c>
      <c r="I871" s="285">
        <f t="shared" si="199"/>
        <v>197</v>
      </c>
      <c r="J871" s="324">
        <f t="shared" si="198"/>
        <v>31.52</v>
      </c>
    </row>
    <row r="872" s="106" customFormat="1" ht="20.1" customHeight="1" spans="1:10">
      <c r="A872" s="279" t="s">
        <v>2801</v>
      </c>
      <c r="B872" s="41" t="s">
        <v>739</v>
      </c>
      <c r="C872" s="287">
        <v>1323</v>
      </c>
      <c r="D872" s="288">
        <f t="shared" si="188"/>
        <v>417</v>
      </c>
      <c r="E872" s="287"/>
      <c r="F872" s="287"/>
      <c r="G872" s="287">
        <v>220</v>
      </c>
      <c r="H872" s="287"/>
      <c r="I872" s="302">
        <v>197</v>
      </c>
      <c r="J872" s="303"/>
    </row>
    <row r="873" s="107" customFormat="1" ht="20.1" customHeight="1" spans="1:10">
      <c r="A873" s="280" t="s">
        <v>740</v>
      </c>
      <c r="B873" s="281" t="s">
        <v>741</v>
      </c>
      <c r="C873" s="282">
        <f t="shared" ref="C873:I873" si="200">C874+C900+C923+C951+C958+C964+C970+C973</f>
        <v>95785</v>
      </c>
      <c r="D873" s="282">
        <f t="shared" si="188"/>
        <v>62702</v>
      </c>
      <c r="E873" s="282">
        <f t="shared" si="200"/>
        <v>30559</v>
      </c>
      <c r="F873" s="282">
        <f t="shared" si="200"/>
        <v>2370</v>
      </c>
      <c r="G873" s="282">
        <f t="shared" si="200"/>
        <v>13603</v>
      </c>
      <c r="H873" s="282">
        <f t="shared" si="200"/>
        <v>1255</v>
      </c>
      <c r="I873" s="282">
        <f t="shared" si="200"/>
        <v>14915</v>
      </c>
      <c r="J873" s="296">
        <f t="shared" si="198"/>
        <v>65.46</v>
      </c>
    </row>
    <row r="874" s="107" customFormat="1" ht="20.1" customHeight="1" spans="1:10">
      <c r="A874" s="283" t="s">
        <v>742</v>
      </c>
      <c r="B874" s="323" t="s">
        <v>2802</v>
      </c>
      <c r="C874" s="285">
        <f t="shared" ref="C874:I874" si="201">SUM(C875:C899)</f>
        <v>13962</v>
      </c>
      <c r="D874" s="285">
        <f t="shared" si="188"/>
        <v>9186</v>
      </c>
      <c r="E874" s="285">
        <f t="shared" si="201"/>
        <v>3345</v>
      </c>
      <c r="F874" s="285">
        <f t="shared" si="201"/>
        <v>150</v>
      </c>
      <c r="G874" s="285">
        <f t="shared" si="201"/>
        <v>1307</v>
      </c>
      <c r="H874" s="285">
        <f t="shared" si="201"/>
        <v>0</v>
      </c>
      <c r="I874" s="285">
        <f t="shared" si="201"/>
        <v>4384</v>
      </c>
      <c r="J874" s="324">
        <f t="shared" si="198"/>
        <v>65.79</v>
      </c>
    </row>
    <row r="875" s="106" customFormat="1" ht="20.1" customHeight="1" spans="1:10">
      <c r="A875" s="279" t="s">
        <v>2803</v>
      </c>
      <c r="B875" s="41" t="s">
        <v>1458</v>
      </c>
      <c r="C875" s="287">
        <v>446</v>
      </c>
      <c r="D875" s="288">
        <f t="shared" si="188"/>
        <v>418</v>
      </c>
      <c r="E875" s="287"/>
      <c r="F875" s="287"/>
      <c r="G875" s="287"/>
      <c r="H875" s="287"/>
      <c r="I875" s="302">
        <v>418</v>
      </c>
      <c r="J875" s="303">
        <f t="shared" si="198"/>
        <v>93.72</v>
      </c>
    </row>
    <row r="876" s="106" customFormat="1" ht="20.1" customHeight="1" spans="1:10">
      <c r="A876" s="279" t="s">
        <v>2804</v>
      </c>
      <c r="B876" s="41" t="s">
        <v>1460</v>
      </c>
      <c r="C876" s="287">
        <v>341</v>
      </c>
      <c r="D876" s="288">
        <f t="shared" si="188"/>
        <v>361</v>
      </c>
      <c r="E876" s="287"/>
      <c r="F876" s="287"/>
      <c r="G876" s="287"/>
      <c r="H876" s="287"/>
      <c r="I876" s="302">
        <v>361</v>
      </c>
      <c r="J876" s="303">
        <f t="shared" si="198"/>
        <v>105.87</v>
      </c>
    </row>
    <row r="877" s="106" customFormat="1" ht="20.1" customHeight="1" spans="1:10">
      <c r="A877" s="279" t="s">
        <v>2805</v>
      </c>
      <c r="B877" s="41" t="s">
        <v>1462</v>
      </c>
      <c r="C877" s="287"/>
      <c r="D877" s="288">
        <f t="shared" si="188"/>
        <v>0</v>
      </c>
      <c r="E877" s="287"/>
      <c r="F877" s="287"/>
      <c r="G877" s="287"/>
      <c r="H877" s="287"/>
      <c r="I877" s="302"/>
      <c r="J877" s="303">
        <f t="shared" si="198"/>
        <v>0</v>
      </c>
    </row>
    <row r="878" s="106" customFormat="1" ht="20.1" customHeight="1" spans="1:10">
      <c r="A878" s="279" t="s">
        <v>2806</v>
      </c>
      <c r="B878" s="41" t="s">
        <v>1476</v>
      </c>
      <c r="C878" s="287">
        <v>3313</v>
      </c>
      <c r="D878" s="288">
        <f t="shared" si="188"/>
        <v>3251</v>
      </c>
      <c r="E878" s="287"/>
      <c r="F878" s="287"/>
      <c r="G878" s="287"/>
      <c r="H878" s="287"/>
      <c r="I878" s="302">
        <v>3251</v>
      </c>
      <c r="J878" s="303">
        <f t="shared" si="198"/>
        <v>98.13</v>
      </c>
    </row>
    <row r="879" s="106" customFormat="1" ht="20.1" customHeight="1" spans="1:10">
      <c r="A879" s="279" t="s">
        <v>2807</v>
      </c>
      <c r="B879" s="41" t="s">
        <v>2808</v>
      </c>
      <c r="C879" s="287"/>
      <c r="D879" s="288">
        <f t="shared" si="188"/>
        <v>0</v>
      </c>
      <c r="E879" s="287"/>
      <c r="F879" s="287"/>
      <c r="G879" s="287"/>
      <c r="H879" s="287"/>
      <c r="I879" s="302"/>
      <c r="J879" s="303">
        <f t="shared" si="198"/>
        <v>0</v>
      </c>
    </row>
    <row r="880" s="106" customFormat="1" ht="20.1" customHeight="1" spans="1:10">
      <c r="A880" s="279" t="s">
        <v>2809</v>
      </c>
      <c r="B880" s="41" t="s">
        <v>2810</v>
      </c>
      <c r="C880" s="287">
        <v>110</v>
      </c>
      <c r="D880" s="288">
        <f t="shared" si="188"/>
        <v>303</v>
      </c>
      <c r="E880" s="287">
        <v>130</v>
      </c>
      <c r="F880" s="287"/>
      <c r="G880" s="287">
        <v>173</v>
      </c>
      <c r="H880" s="287"/>
      <c r="I880" s="302"/>
      <c r="J880" s="303">
        <f t="shared" si="198"/>
        <v>275.45</v>
      </c>
    </row>
    <row r="881" s="106" customFormat="1" ht="20.1" customHeight="1" spans="1:10">
      <c r="A881" s="279" t="s">
        <v>2811</v>
      </c>
      <c r="B881" s="41" t="s">
        <v>2812</v>
      </c>
      <c r="C881" s="287">
        <v>171</v>
      </c>
      <c r="D881" s="288">
        <f t="shared" si="188"/>
        <v>170</v>
      </c>
      <c r="E881" s="287">
        <v>34</v>
      </c>
      <c r="F881" s="287">
        <v>34</v>
      </c>
      <c r="G881" s="287">
        <v>101</v>
      </c>
      <c r="H881" s="287"/>
      <c r="I881" s="302">
        <v>1</v>
      </c>
      <c r="J881" s="303">
        <f t="shared" si="198"/>
        <v>99.42</v>
      </c>
    </row>
    <row r="882" s="106" customFormat="1" ht="20.1" customHeight="1" spans="1:10">
      <c r="A882" s="279" t="s">
        <v>2813</v>
      </c>
      <c r="B882" s="41" t="s">
        <v>2814</v>
      </c>
      <c r="C882" s="287">
        <v>15</v>
      </c>
      <c r="D882" s="288">
        <f t="shared" si="188"/>
        <v>39</v>
      </c>
      <c r="E882" s="287"/>
      <c r="F882" s="287">
        <v>24</v>
      </c>
      <c r="G882" s="287">
        <v>15</v>
      </c>
      <c r="H882" s="287"/>
      <c r="I882" s="302"/>
      <c r="J882" s="303">
        <f t="shared" si="198"/>
        <v>260</v>
      </c>
    </row>
    <row r="883" s="106" customFormat="1" ht="20.1" customHeight="1" spans="1:10">
      <c r="A883" s="279" t="s">
        <v>2815</v>
      </c>
      <c r="B883" s="41" t="s">
        <v>2816</v>
      </c>
      <c r="C883" s="287"/>
      <c r="D883" s="288">
        <f t="shared" si="188"/>
        <v>0</v>
      </c>
      <c r="E883" s="287"/>
      <c r="F883" s="287"/>
      <c r="G883" s="287"/>
      <c r="H883" s="287"/>
      <c r="I883" s="302"/>
      <c r="J883" s="303">
        <f t="shared" si="198"/>
        <v>0</v>
      </c>
    </row>
    <row r="884" s="106" customFormat="1" ht="20.1" customHeight="1" spans="1:10">
      <c r="A884" s="279" t="s">
        <v>2817</v>
      </c>
      <c r="B884" s="41" t="s">
        <v>2818</v>
      </c>
      <c r="C884" s="287"/>
      <c r="D884" s="288">
        <f t="shared" si="188"/>
        <v>3</v>
      </c>
      <c r="E884" s="287"/>
      <c r="F884" s="287">
        <v>2</v>
      </c>
      <c r="G884" s="287">
        <v>1</v>
      </c>
      <c r="H884" s="287"/>
      <c r="I884" s="302"/>
      <c r="J884" s="303">
        <f t="shared" si="198"/>
        <v>100</v>
      </c>
    </row>
    <row r="885" s="106" customFormat="1" ht="20.1" customHeight="1" spans="1:10">
      <c r="A885" s="279" t="s">
        <v>2819</v>
      </c>
      <c r="B885" s="41" t="s">
        <v>2820</v>
      </c>
      <c r="C885" s="287"/>
      <c r="D885" s="288">
        <f t="shared" si="188"/>
        <v>0</v>
      </c>
      <c r="E885" s="287"/>
      <c r="F885" s="287"/>
      <c r="G885" s="287"/>
      <c r="H885" s="287"/>
      <c r="I885" s="302"/>
      <c r="J885" s="303">
        <f t="shared" si="198"/>
        <v>0</v>
      </c>
    </row>
    <row r="886" s="106" customFormat="1" ht="20.1" customHeight="1" spans="1:10">
      <c r="A886" s="279" t="s">
        <v>2821</v>
      </c>
      <c r="B886" s="41" t="s">
        <v>2822</v>
      </c>
      <c r="C886" s="287"/>
      <c r="D886" s="288">
        <f t="shared" si="188"/>
        <v>0</v>
      </c>
      <c r="E886" s="287"/>
      <c r="F886" s="287"/>
      <c r="G886" s="287"/>
      <c r="H886" s="287"/>
      <c r="I886" s="302"/>
      <c r="J886" s="303">
        <f t="shared" si="198"/>
        <v>0</v>
      </c>
    </row>
    <row r="887" s="106" customFormat="1" ht="20.1" customHeight="1" spans="1:10">
      <c r="A887" s="279" t="s">
        <v>2823</v>
      </c>
      <c r="B887" s="41" t="s">
        <v>2824</v>
      </c>
      <c r="C887" s="287">
        <v>30</v>
      </c>
      <c r="D887" s="288">
        <f t="shared" si="188"/>
        <v>26</v>
      </c>
      <c r="E887" s="287"/>
      <c r="F887" s="287"/>
      <c r="G887" s="287">
        <v>26</v>
      </c>
      <c r="H887" s="287"/>
      <c r="I887" s="302"/>
      <c r="J887" s="303">
        <f t="shared" si="198"/>
        <v>86.67</v>
      </c>
    </row>
    <row r="888" s="106" customFormat="1" ht="20.1" customHeight="1" spans="1:10">
      <c r="A888" s="279" t="s">
        <v>2825</v>
      </c>
      <c r="B888" s="41" t="s">
        <v>2826</v>
      </c>
      <c r="C888" s="287">
        <v>1395</v>
      </c>
      <c r="D888" s="288">
        <f t="shared" si="188"/>
        <v>1411</v>
      </c>
      <c r="E888" s="287">
        <v>1411</v>
      </c>
      <c r="F888" s="287"/>
      <c r="G888" s="287"/>
      <c r="H888" s="287"/>
      <c r="I888" s="302"/>
      <c r="J888" s="303">
        <f t="shared" si="198"/>
        <v>101.15</v>
      </c>
    </row>
    <row r="889" s="106" customFormat="1" ht="20.1" customHeight="1" spans="1:10">
      <c r="A889" s="279" t="s">
        <v>2827</v>
      </c>
      <c r="B889" s="41" t="s">
        <v>2828</v>
      </c>
      <c r="C889" s="287">
        <v>10</v>
      </c>
      <c r="D889" s="288">
        <f t="shared" si="188"/>
        <v>0</v>
      </c>
      <c r="E889" s="287"/>
      <c r="F889" s="287"/>
      <c r="G889" s="287"/>
      <c r="H889" s="287"/>
      <c r="I889" s="302"/>
      <c r="J889" s="303">
        <f t="shared" si="198"/>
        <v>-100</v>
      </c>
    </row>
    <row r="890" s="106" customFormat="1" ht="20.1" customHeight="1" spans="1:10">
      <c r="A890" s="279" t="s">
        <v>2829</v>
      </c>
      <c r="B890" s="41" t="s">
        <v>2830</v>
      </c>
      <c r="C890" s="287">
        <v>1004</v>
      </c>
      <c r="D890" s="288">
        <f t="shared" si="188"/>
        <v>1245</v>
      </c>
      <c r="E890" s="287">
        <v>920</v>
      </c>
      <c r="F890" s="287">
        <v>50</v>
      </c>
      <c r="G890" s="287">
        <v>251</v>
      </c>
      <c r="H890" s="287"/>
      <c r="I890" s="302">
        <v>24</v>
      </c>
      <c r="J890" s="303">
        <f t="shared" si="198"/>
        <v>124</v>
      </c>
    </row>
    <row r="891" s="106" customFormat="1" ht="20.1" customHeight="1" spans="1:10">
      <c r="A891" s="279" t="s">
        <v>2831</v>
      </c>
      <c r="B891" s="41" t="s">
        <v>2832</v>
      </c>
      <c r="C891" s="287">
        <v>11</v>
      </c>
      <c r="D891" s="288">
        <f t="shared" si="188"/>
        <v>181</v>
      </c>
      <c r="E891" s="287"/>
      <c r="F891" s="287"/>
      <c r="G891" s="287">
        <v>181</v>
      </c>
      <c r="H891" s="287"/>
      <c r="I891" s="302"/>
      <c r="J891" s="303">
        <f t="shared" si="198"/>
        <v>1645.45</v>
      </c>
    </row>
    <row r="892" s="106" customFormat="1" ht="20.1" customHeight="1" spans="1:10">
      <c r="A892" s="279" t="s">
        <v>2833</v>
      </c>
      <c r="B892" s="41" t="s">
        <v>2834</v>
      </c>
      <c r="C892" s="287">
        <v>42</v>
      </c>
      <c r="D892" s="288">
        <f t="shared" si="188"/>
        <v>0</v>
      </c>
      <c r="E892" s="287"/>
      <c r="F892" s="287"/>
      <c r="G892" s="287"/>
      <c r="H892" s="287"/>
      <c r="I892" s="302"/>
      <c r="J892" s="303">
        <f t="shared" si="198"/>
        <v>-100</v>
      </c>
    </row>
    <row r="893" s="106" customFormat="1" ht="20.1" customHeight="1" spans="1:10">
      <c r="A893" s="279" t="s">
        <v>2835</v>
      </c>
      <c r="B893" s="41" t="s">
        <v>2836</v>
      </c>
      <c r="C893" s="287">
        <v>414</v>
      </c>
      <c r="D893" s="288">
        <f t="shared" si="188"/>
        <v>307</v>
      </c>
      <c r="E893" s="287"/>
      <c r="F893" s="287"/>
      <c r="G893" s="287">
        <v>2</v>
      </c>
      <c r="H893" s="287"/>
      <c r="I893" s="302">
        <v>305</v>
      </c>
      <c r="J893" s="303">
        <f t="shared" si="198"/>
        <v>74.15</v>
      </c>
    </row>
    <row r="894" s="106" customFormat="1" ht="20.1" customHeight="1" spans="1:10">
      <c r="A894" s="279" t="s">
        <v>2837</v>
      </c>
      <c r="B894" s="41" t="s">
        <v>2838</v>
      </c>
      <c r="C894" s="287">
        <v>118</v>
      </c>
      <c r="D894" s="288">
        <f t="shared" si="188"/>
        <v>56</v>
      </c>
      <c r="E894" s="287"/>
      <c r="F894" s="287">
        <v>40</v>
      </c>
      <c r="G894" s="287">
        <v>16</v>
      </c>
      <c r="H894" s="287"/>
      <c r="I894" s="302"/>
      <c r="J894" s="303">
        <f t="shared" si="198"/>
        <v>47.46</v>
      </c>
    </row>
    <row r="895" s="106" customFormat="1" ht="20.1" customHeight="1" spans="1:10">
      <c r="A895" s="279" t="s">
        <v>2839</v>
      </c>
      <c r="B895" s="41" t="s">
        <v>2840</v>
      </c>
      <c r="C895" s="287"/>
      <c r="D895" s="288">
        <f t="shared" si="188"/>
        <v>0</v>
      </c>
      <c r="E895" s="287"/>
      <c r="F895" s="287"/>
      <c r="G895" s="287"/>
      <c r="H895" s="287"/>
      <c r="I895" s="302"/>
      <c r="J895" s="303">
        <f t="shared" si="198"/>
        <v>0</v>
      </c>
    </row>
    <row r="896" s="106" customFormat="1" ht="20.1" customHeight="1" spans="1:10">
      <c r="A896" s="279" t="s">
        <v>2841</v>
      </c>
      <c r="B896" s="41" t="s">
        <v>2842</v>
      </c>
      <c r="C896" s="287">
        <v>86</v>
      </c>
      <c r="D896" s="288">
        <f t="shared" si="188"/>
        <v>150</v>
      </c>
      <c r="E896" s="287"/>
      <c r="F896" s="287"/>
      <c r="G896" s="287">
        <v>150</v>
      </c>
      <c r="H896" s="287"/>
      <c r="I896" s="302"/>
      <c r="J896" s="303">
        <f t="shared" si="198"/>
        <v>174.42</v>
      </c>
    </row>
    <row r="897" s="106" customFormat="1" ht="20.1" customHeight="1" spans="1:10">
      <c r="A897" s="279" t="s">
        <v>2843</v>
      </c>
      <c r="B897" s="41" t="s">
        <v>2844</v>
      </c>
      <c r="C897" s="287"/>
      <c r="D897" s="288">
        <f t="shared" si="188"/>
        <v>0</v>
      </c>
      <c r="E897" s="287"/>
      <c r="F897" s="287"/>
      <c r="G897" s="287"/>
      <c r="H897" s="287"/>
      <c r="I897" s="302"/>
      <c r="J897" s="303">
        <f t="shared" si="198"/>
        <v>0</v>
      </c>
    </row>
    <row r="898" s="106" customFormat="1" ht="20.1" customHeight="1" spans="1:10">
      <c r="A898" s="335" t="s">
        <v>2845</v>
      </c>
      <c r="B898" s="665" t="s">
        <v>2846</v>
      </c>
      <c r="C898" s="287">
        <v>1317</v>
      </c>
      <c r="D898" s="288">
        <f t="shared" si="188"/>
        <v>850</v>
      </c>
      <c r="E898" s="287">
        <v>850</v>
      </c>
      <c r="F898" s="287"/>
      <c r="G898" s="287"/>
      <c r="H898" s="287"/>
      <c r="I898" s="302"/>
      <c r="J898" s="303"/>
    </row>
    <row r="899" s="106" customFormat="1" ht="20.1" customHeight="1" spans="1:10">
      <c r="A899" s="279" t="s">
        <v>2847</v>
      </c>
      <c r="B899" s="41" t="s">
        <v>2848</v>
      </c>
      <c r="C899" s="287">
        <v>5139</v>
      </c>
      <c r="D899" s="288">
        <f t="shared" si="188"/>
        <v>415</v>
      </c>
      <c r="E899" s="287"/>
      <c r="F899" s="287"/>
      <c r="G899" s="287">
        <v>391</v>
      </c>
      <c r="H899" s="287"/>
      <c r="I899" s="302">
        <v>24</v>
      </c>
      <c r="J899" s="303">
        <f t="shared" ref="J899:J920" si="202">ROUND(IF(C899=0,IF(D899=0,0,1),IF(D899=0,-1,D899/C899)),4)*100</f>
        <v>8.08</v>
      </c>
    </row>
    <row r="900" s="107" customFormat="1" ht="20.1" customHeight="1" spans="1:10">
      <c r="A900" s="283" t="s">
        <v>744</v>
      </c>
      <c r="B900" s="323" t="s">
        <v>2849</v>
      </c>
      <c r="C900" s="285">
        <f t="shared" ref="C900:I900" si="203">SUM(C901:C922)</f>
        <v>9419</v>
      </c>
      <c r="D900" s="285">
        <f t="shared" si="188"/>
        <v>6925</v>
      </c>
      <c r="E900" s="285">
        <f t="shared" si="203"/>
        <v>5</v>
      </c>
      <c r="F900" s="285">
        <f t="shared" si="203"/>
        <v>788</v>
      </c>
      <c r="G900" s="285">
        <f t="shared" si="203"/>
        <v>3891</v>
      </c>
      <c r="H900" s="285">
        <f t="shared" si="203"/>
        <v>0</v>
      </c>
      <c r="I900" s="285">
        <f t="shared" si="203"/>
        <v>2241</v>
      </c>
      <c r="J900" s="324">
        <f t="shared" si="202"/>
        <v>73.52</v>
      </c>
    </row>
    <row r="901" s="106" customFormat="1" ht="20.1" customHeight="1" spans="1:10">
      <c r="A901" s="279" t="s">
        <v>2850</v>
      </c>
      <c r="B901" s="41" t="s">
        <v>1458</v>
      </c>
      <c r="C901" s="287">
        <v>66</v>
      </c>
      <c r="D901" s="288">
        <f t="shared" si="188"/>
        <v>41</v>
      </c>
      <c r="E901" s="287"/>
      <c r="F901" s="287"/>
      <c r="G901" s="287"/>
      <c r="H901" s="287"/>
      <c r="I901" s="302">
        <v>41</v>
      </c>
      <c r="J901" s="303">
        <f t="shared" si="202"/>
        <v>62.12</v>
      </c>
    </row>
    <row r="902" s="106" customFormat="1" ht="20.1" customHeight="1" spans="1:10">
      <c r="A902" s="279" t="s">
        <v>2851</v>
      </c>
      <c r="B902" s="41" t="s">
        <v>1460</v>
      </c>
      <c r="C902" s="287"/>
      <c r="D902" s="288">
        <f t="shared" ref="D902:D965" si="204">SUM(E902:I902)</f>
        <v>0</v>
      </c>
      <c r="E902" s="287"/>
      <c r="F902" s="287"/>
      <c r="G902" s="287"/>
      <c r="H902" s="287"/>
      <c r="I902" s="302"/>
      <c r="J902" s="303">
        <f t="shared" si="202"/>
        <v>0</v>
      </c>
    </row>
    <row r="903" s="106" customFormat="1" ht="20.1" customHeight="1" spans="1:10">
      <c r="A903" s="279" t="s">
        <v>2852</v>
      </c>
      <c r="B903" s="41" t="s">
        <v>1462</v>
      </c>
      <c r="C903" s="287"/>
      <c r="D903" s="288">
        <f t="shared" si="204"/>
        <v>0</v>
      </c>
      <c r="E903" s="287"/>
      <c r="F903" s="287"/>
      <c r="G903" s="287"/>
      <c r="H903" s="287"/>
      <c r="I903" s="302"/>
      <c r="J903" s="303">
        <f t="shared" si="202"/>
        <v>0</v>
      </c>
    </row>
    <row r="904" s="106" customFormat="1" ht="20.1" customHeight="1" spans="1:10">
      <c r="A904" s="279" t="s">
        <v>2853</v>
      </c>
      <c r="B904" s="41" t="s">
        <v>2854</v>
      </c>
      <c r="C904" s="287">
        <v>2097</v>
      </c>
      <c r="D904" s="288">
        <f t="shared" si="204"/>
        <v>2200</v>
      </c>
      <c r="E904" s="287"/>
      <c r="F904" s="287"/>
      <c r="G904" s="287"/>
      <c r="H904" s="287"/>
      <c r="I904" s="302">
        <v>2200</v>
      </c>
      <c r="J904" s="303">
        <f t="shared" si="202"/>
        <v>104.91</v>
      </c>
    </row>
    <row r="905" s="106" customFormat="1" ht="20.1" customHeight="1" spans="1:10">
      <c r="A905" s="279" t="s">
        <v>2855</v>
      </c>
      <c r="B905" s="41" t="s">
        <v>2856</v>
      </c>
      <c r="C905" s="287">
        <v>6054</v>
      </c>
      <c r="D905" s="288">
        <f t="shared" si="204"/>
        <v>2805</v>
      </c>
      <c r="E905" s="287">
        <v>5</v>
      </c>
      <c r="F905" s="287"/>
      <c r="G905" s="287">
        <v>2800</v>
      </c>
      <c r="H905" s="287"/>
      <c r="I905" s="302"/>
      <c r="J905" s="303">
        <f t="shared" si="202"/>
        <v>46.33</v>
      </c>
    </row>
    <row r="906" s="106" customFormat="1" ht="20.1" customHeight="1" spans="1:10">
      <c r="A906" s="279" t="s">
        <v>2857</v>
      </c>
      <c r="B906" s="41" t="s">
        <v>2858</v>
      </c>
      <c r="C906" s="287">
        <v>4</v>
      </c>
      <c r="D906" s="288">
        <f t="shared" si="204"/>
        <v>0</v>
      </c>
      <c r="E906" s="287"/>
      <c r="F906" s="287"/>
      <c r="G906" s="287"/>
      <c r="H906" s="287"/>
      <c r="I906" s="302"/>
      <c r="J906" s="303">
        <f t="shared" si="202"/>
        <v>-100</v>
      </c>
    </row>
    <row r="907" s="106" customFormat="1" ht="20.1" customHeight="1" spans="1:10">
      <c r="A907" s="279" t="s">
        <v>2859</v>
      </c>
      <c r="B907" s="41" t="s">
        <v>2860</v>
      </c>
      <c r="C907" s="287"/>
      <c r="D907" s="288">
        <f t="shared" si="204"/>
        <v>0</v>
      </c>
      <c r="E907" s="287"/>
      <c r="F907" s="287"/>
      <c r="G907" s="287"/>
      <c r="H907" s="287"/>
      <c r="I907" s="302"/>
      <c r="J907" s="303">
        <f t="shared" si="202"/>
        <v>0</v>
      </c>
    </row>
    <row r="908" s="106" customFormat="1" ht="20.1" customHeight="1" spans="1:10">
      <c r="A908" s="279" t="s">
        <v>2861</v>
      </c>
      <c r="B908" s="41" t="s">
        <v>2862</v>
      </c>
      <c r="C908" s="287">
        <v>42</v>
      </c>
      <c r="D908" s="288">
        <f t="shared" si="204"/>
        <v>29</v>
      </c>
      <c r="E908" s="287"/>
      <c r="F908" s="287">
        <v>27</v>
      </c>
      <c r="G908" s="287">
        <v>2</v>
      </c>
      <c r="H908" s="287"/>
      <c r="I908" s="302"/>
      <c r="J908" s="303">
        <f t="shared" si="202"/>
        <v>69.05</v>
      </c>
    </row>
    <row r="909" s="106" customFormat="1" ht="20.1" customHeight="1" spans="1:10">
      <c r="A909" s="279" t="s">
        <v>2863</v>
      </c>
      <c r="B909" s="41" t="s">
        <v>2864</v>
      </c>
      <c r="C909" s="287">
        <v>2</v>
      </c>
      <c r="D909" s="288">
        <f t="shared" si="204"/>
        <v>0</v>
      </c>
      <c r="E909" s="287"/>
      <c r="F909" s="287"/>
      <c r="G909" s="287"/>
      <c r="H909" s="287"/>
      <c r="I909" s="302"/>
      <c r="J909" s="303">
        <f t="shared" si="202"/>
        <v>-100</v>
      </c>
    </row>
    <row r="910" s="106" customFormat="1" ht="20.1" customHeight="1" spans="1:10">
      <c r="A910" s="279" t="s">
        <v>2865</v>
      </c>
      <c r="B910" s="41" t="s">
        <v>2866</v>
      </c>
      <c r="C910" s="287"/>
      <c r="D910" s="288">
        <f t="shared" si="204"/>
        <v>0</v>
      </c>
      <c r="E910" s="287"/>
      <c r="F910" s="287"/>
      <c r="G910" s="287"/>
      <c r="H910" s="287"/>
      <c r="I910" s="302"/>
      <c r="J910" s="303">
        <f t="shared" si="202"/>
        <v>0</v>
      </c>
    </row>
    <row r="911" s="106" customFormat="1" ht="20.1" customHeight="1" spans="1:10">
      <c r="A911" s="279" t="s">
        <v>2867</v>
      </c>
      <c r="B911" s="41" t="s">
        <v>2868</v>
      </c>
      <c r="C911" s="287"/>
      <c r="D911" s="288">
        <f t="shared" si="204"/>
        <v>0</v>
      </c>
      <c r="E911" s="287"/>
      <c r="F911" s="287"/>
      <c r="G911" s="287"/>
      <c r="H911" s="287"/>
      <c r="I911" s="302"/>
      <c r="J911" s="303">
        <f t="shared" si="202"/>
        <v>0</v>
      </c>
    </row>
    <row r="912" s="106" customFormat="1" ht="20.1" customHeight="1" spans="1:10">
      <c r="A912" s="279" t="s">
        <v>2869</v>
      </c>
      <c r="B912" s="41" t="s">
        <v>2870</v>
      </c>
      <c r="C912" s="287"/>
      <c r="D912" s="288">
        <f t="shared" si="204"/>
        <v>0</v>
      </c>
      <c r="E912" s="287"/>
      <c r="F912" s="287"/>
      <c r="G912" s="287"/>
      <c r="H912" s="287"/>
      <c r="I912" s="302"/>
      <c r="J912" s="303">
        <f t="shared" si="202"/>
        <v>0</v>
      </c>
    </row>
    <row r="913" s="106" customFormat="1" ht="20.1" customHeight="1" spans="1:10">
      <c r="A913" s="279" t="s">
        <v>2871</v>
      </c>
      <c r="B913" s="41" t="s">
        <v>2872</v>
      </c>
      <c r="C913" s="287"/>
      <c r="D913" s="288">
        <f t="shared" si="204"/>
        <v>0</v>
      </c>
      <c r="E913" s="287"/>
      <c r="F913" s="287"/>
      <c r="G913" s="287"/>
      <c r="H913" s="287"/>
      <c r="I913" s="302"/>
      <c r="J913" s="303">
        <f t="shared" si="202"/>
        <v>0</v>
      </c>
    </row>
    <row r="914" s="106" customFormat="1" ht="20.1" customHeight="1" spans="1:10">
      <c r="A914" s="279" t="s">
        <v>2873</v>
      </c>
      <c r="B914" s="41" t="s">
        <v>2874</v>
      </c>
      <c r="C914" s="287"/>
      <c r="D914" s="288">
        <f t="shared" si="204"/>
        <v>0</v>
      </c>
      <c r="E914" s="287"/>
      <c r="F914" s="287"/>
      <c r="G914" s="287"/>
      <c r="H914" s="287"/>
      <c r="I914" s="302"/>
      <c r="J914" s="303">
        <f t="shared" si="202"/>
        <v>0</v>
      </c>
    </row>
    <row r="915" s="106" customFormat="1" ht="20.1" customHeight="1" spans="1:10">
      <c r="A915" s="279" t="s">
        <v>2875</v>
      </c>
      <c r="B915" s="41" t="s">
        <v>2876</v>
      </c>
      <c r="C915" s="287"/>
      <c r="D915" s="288">
        <f t="shared" si="204"/>
        <v>0</v>
      </c>
      <c r="E915" s="287"/>
      <c r="F915" s="287"/>
      <c r="G915" s="287"/>
      <c r="H915" s="287"/>
      <c r="I915" s="302"/>
      <c r="J915" s="303">
        <f t="shared" si="202"/>
        <v>0</v>
      </c>
    </row>
    <row r="916" s="106" customFormat="1" ht="20.1" customHeight="1" spans="1:10">
      <c r="A916" s="279" t="s">
        <v>2877</v>
      </c>
      <c r="B916" s="41" t="s">
        <v>2878</v>
      </c>
      <c r="C916" s="287"/>
      <c r="D916" s="288">
        <f t="shared" si="204"/>
        <v>0</v>
      </c>
      <c r="E916" s="287"/>
      <c r="F916" s="287"/>
      <c r="G916" s="287"/>
      <c r="H916" s="287"/>
      <c r="I916" s="302"/>
      <c r="J916" s="303">
        <f t="shared" si="202"/>
        <v>0</v>
      </c>
    </row>
    <row r="917" s="106" customFormat="1" ht="20.1" customHeight="1" spans="1:10">
      <c r="A917" s="279" t="s">
        <v>2879</v>
      </c>
      <c r="B917" s="41" t="s">
        <v>2880</v>
      </c>
      <c r="C917" s="287"/>
      <c r="D917" s="288">
        <f t="shared" si="204"/>
        <v>0</v>
      </c>
      <c r="E917" s="287"/>
      <c r="F917" s="287"/>
      <c r="G917" s="287"/>
      <c r="H917" s="287"/>
      <c r="I917" s="302"/>
      <c r="J917" s="303">
        <f t="shared" si="202"/>
        <v>0</v>
      </c>
    </row>
    <row r="918" s="106" customFormat="1" ht="20.1" customHeight="1" spans="1:10">
      <c r="A918" s="279" t="s">
        <v>2881</v>
      </c>
      <c r="B918" s="41" t="s">
        <v>2882</v>
      </c>
      <c r="C918" s="287">
        <v>155</v>
      </c>
      <c r="D918" s="288">
        <f t="shared" si="204"/>
        <v>60</v>
      </c>
      <c r="E918" s="287"/>
      <c r="F918" s="287">
        <v>50</v>
      </c>
      <c r="G918" s="287">
        <v>10</v>
      </c>
      <c r="H918" s="287"/>
      <c r="I918" s="302"/>
      <c r="J918" s="303">
        <f t="shared" si="202"/>
        <v>38.71</v>
      </c>
    </row>
    <row r="919" s="106" customFormat="1" ht="20.1" customHeight="1" spans="1:10">
      <c r="A919" s="279" t="s">
        <v>2883</v>
      </c>
      <c r="B919" s="41" t="s">
        <v>2884</v>
      </c>
      <c r="C919" s="287"/>
      <c r="D919" s="288">
        <f t="shared" si="204"/>
        <v>0</v>
      </c>
      <c r="E919" s="287"/>
      <c r="F919" s="287"/>
      <c r="G919" s="287"/>
      <c r="H919" s="287"/>
      <c r="I919" s="302"/>
      <c r="J919" s="303">
        <f t="shared" si="202"/>
        <v>0</v>
      </c>
    </row>
    <row r="920" s="106" customFormat="1" ht="20.1" customHeight="1" spans="1:10">
      <c r="A920" s="279" t="s">
        <v>2885</v>
      </c>
      <c r="B920" s="41" t="s">
        <v>2886</v>
      </c>
      <c r="C920" s="287"/>
      <c r="D920" s="288">
        <f t="shared" si="204"/>
        <v>0</v>
      </c>
      <c r="E920" s="287"/>
      <c r="F920" s="287"/>
      <c r="G920" s="287"/>
      <c r="H920" s="287"/>
      <c r="I920" s="302"/>
      <c r="J920" s="303">
        <f t="shared" si="202"/>
        <v>0</v>
      </c>
    </row>
    <row r="921" s="106" customFormat="1" ht="20.1" customHeight="1" spans="1:10">
      <c r="A921" s="279" t="s">
        <v>2887</v>
      </c>
      <c r="B921" s="41" t="s">
        <v>2888</v>
      </c>
      <c r="C921" s="287"/>
      <c r="D921" s="288">
        <f t="shared" si="204"/>
        <v>0</v>
      </c>
      <c r="E921" s="287"/>
      <c r="F921" s="287"/>
      <c r="G921" s="287"/>
      <c r="H921" s="287"/>
      <c r="I921" s="302"/>
      <c r="J921" s="303"/>
    </row>
    <row r="922" s="106" customFormat="1" ht="20.1" customHeight="1" spans="1:10">
      <c r="A922" s="279" t="s">
        <v>2889</v>
      </c>
      <c r="B922" s="41" t="s">
        <v>2890</v>
      </c>
      <c r="C922" s="287">
        <v>999</v>
      </c>
      <c r="D922" s="288">
        <f t="shared" si="204"/>
        <v>1790</v>
      </c>
      <c r="E922" s="287"/>
      <c r="F922" s="287">
        <v>711</v>
      </c>
      <c r="G922" s="287">
        <v>1079</v>
      </c>
      <c r="H922" s="287"/>
      <c r="I922" s="302"/>
      <c r="J922" s="303">
        <f t="shared" ref="J922:J947" si="205">ROUND(IF(C922=0,IF(D922=0,0,1),IF(D922=0,-1,D922/C922)),4)*100</f>
        <v>179.18</v>
      </c>
    </row>
    <row r="923" s="107" customFormat="1" ht="20.1" customHeight="1" spans="1:10">
      <c r="A923" s="283" t="s">
        <v>746</v>
      </c>
      <c r="B923" s="323" t="s">
        <v>2891</v>
      </c>
      <c r="C923" s="285">
        <f t="shared" ref="C923:I923" si="206">SUM(C924:C950)</f>
        <v>3322</v>
      </c>
      <c r="D923" s="285">
        <f t="shared" si="204"/>
        <v>3458</v>
      </c>
      <c r="E923" s="285">
        <f t="shared" si="206"/>
        <v>286</v>
      </c>
      <c r="F923" s="285">
        <f t="shared" si="206"/>
        <v>71</v>
      </c>
      <c r="G923" s="285">
        <f t="shared" si="206"/>
        <v>2543</v>
      </c>
      <c r="H923" s="285">
        <f t="shared" si="206"/>
        <v>0</v>
      </c>
      <c r="I923" s="285">
        <f t="shared" si="206"/>
        <v>558</v>
      </c>
      <c r="J923" s="324">
        <f t="shared" si="205"/>
        <v>104.09</v>
      </c>
    </row>
    <row r="924" s="106" customFormat="1" ht="20.1" customHeight="1" spans="1:10">
      <c r="A924" s="279" t="s">
        <v>2892</v>
      </c>
      <c r="B924" s="41" t="s">
        <v>1458</v>
      </c>
      <c r="C924" s="287">
        <v>127</v>
      </c>
      <c r="D924" s="288">
        <f t="shared" si="204"/>
        <v>91</v>
      </c>
      <c r="E924" s="287"/>
      <c r="F924" s="287"/>
      <c r="G924" s="287"/>
      <c r="H924" s="287"/>
      <c r="I924" s="302">
        <v>91</v>
      </c>
      <c r="J924" s="303">
        <f t="shared" si="205"/>
        <v>71.65</v>
      </c>
    </row>
    <row r="925" s="106" customFormat="1" ht="20.1" customHeight="1" spans="1:10">
      <c r="A925" s="279" t="s">
        <v>2893</v>
      </c>
      <c r="B925" s="41" t="s">
        <v>1460</v>
      </c>
      <c r="C925" s="287">
        <v>359</v>
      </c>
      <c r="D925" s="288">
        <f t="shared" si="204"/>
        <v>326</v>
      </c>
      <c r="E925" s="287"/>
      <c r="F925" s="287"/>
      <c r="G925" s="287"/>
      <c r="H925" s="287"/>
      <c r="I925" s="302">
        <v>326</v>
      </c>
      <c r="J925" s="303">
        <f t="shared" si="205"/>
        <v>90.81</v>
      </c>
    </row>
    <row r="926" s="106" customFormat="1" ht="20.1" customHeight="1" spans="1:10">
      <c r="A926" s="279" t="s">
        <v>2894</v>
      </c>
      <c r="B926" s="41" t="s">
        <v>1462</v>
      </c>
      <c r="C926" s="287"/>
      <c r="D926" s="288">
        <f t="shared" si="204"/>
        <v>0</v>
      </c>
      <c r="E926" s="287"/>
      <c r="F926" s="287"/>
      <c r="G926" s="287"/>
      <c r="H926" s="287"/>
      <c r="I926" s="302"/>
      <c r="J926" s="303">
        <f t="shared" si="205"/>
        <v>0</v>
      </c>
    </row>
    <row r="927" s="106" customFormat="1" ht="20.1" customHeight="1" spans="1:10">
      <c r="A927" s="279" t="s">
        <v>2895</v>
      </c>
      <c r="B927" s="41" t="s">
        <v>2896</v>
      </c>
      <c r="C927" s="287">
        <v>90</v>
      </c>
      <c r="D927" s="288">
        <f t="shared" si="204"/>
        <v>101</v>
      </c>
      <c r="E927" s="287"/>
      <c r="F927" s="287"/>
      <c r="G927" s="287"/>
      <c r="H927" s="287"/>
      <c r="I927" s="302">
        <v>101</v>
      </c>
      <c r="J927" s="303">
        <f t="shared" si="205"/>
        <v>112.22</v>
      </c>
    </row>
    <row r="928" s="106" customFormat="1" ht="20.1" customHeight="1" spans="1:10">
      <c r="A928" s="279" t="s">
        <v>2897</v>
      </c>
      <c r="B928" s="41" t="s">
        <v>2898</v>
      </c>
      <c r="C928" s="287">
        <v>658</v>
      </c>
      <c r="D928" s="288">
        <f t="shared" si="204"/>
        <v>29</v>
      </c>
      <c r="E928" s="287"/>
      <c r="F928" s="287"/>
      <c r="G928" s="287">
        <v>29</v>
      </c>
      <c r="H928" s="287"/>
      <c r="I928" s="302"/>
      <c r="J928" s="303">
        <f t="shared" si="205"/>
        <v>4.41</v>
      </c>
    </row>
    <row r="929" s="106" customFormat="1" ht="20.1" customHeight="1" spans="1:10">
      <c r="A929" s="279" t="s">
        <v>2899</v>
      </c>
      <c r="B929" s="41" t="s">
        <v>2900</v>
      </c>
      <c r="C929" s="287">
        <v>974</v>
      </c>
      <c r="D929" s="288">
        <f t="shared" si="204"/>
        <v>1213</v>
      </c>
      <c r="E929" s="287">
        <v>237</v>
      </c>
      <c r="F929" s="287"/>
      <c r="G929" s="287">
        <v>976</v>
      </c>
      <c r="H929" s="287"/>
      <c r="I929" s="302"/>
      <c r="J929" s="303">
        <f t="shared" si="205"/>
        <v>124.54</v>
      </c>
    </row>
    <row r="930" s="106" customFormat="1" ht="20.1" customHeight="1" spans="1:10">
      <c r="A930" s="279" t="s">
        <v>2901</v>
      </c>
      <c r="B930" s="41" t="s">
        <v>2902</v>
      </c>
      <c r="C930" s="287"/>
      <c r="D930" s="288">
        <f t="shared" si="204"/>
        <v>0</v>
      </c>
      <c r="E930" s="287"/>
      <c r="F930" s="287"/>
      <c r="G930" s="287"/>
      <c r="H930" s="287"/>
      <c r="I930" s="302"/>
      <c r="J930" s="303">
        <f t="shared" si="205"/>
        <v>0</v>
      </c>
    </row>
    <row r="931" s="106" customFormat="1" ht="20.1" customHeight="1" spans="1:10">
      <c r="A931" s="279" t="s">
        <v>2903</v>
      </c>
      <c r="B931" s="41" t="s">
        <v>2904</v>
      </c>
      <c r="C931" s="287"/>
      <c r="D931" s="288">
        <f t="shared" si="204"/>
        <v>46</v>
      </c>
      <c r="E931" s="287"/>
      <c r="F931" s="287"/>
      <c r="G931" s="287">
        <v>46</v>
      </c>
      <c r="H931" s="287"/>
      <c r="I931" s="302"/>
      <c r="J931" s="303">
        <f t="shared" si="205"/>
        <v>100</v>
      </c>
    </row>
    <row r="932" s="106" customFormat="1" ht="20.1" customHeight="1" spans="1:10">
      <c r="A932" s="279" t="s">
        <v>2905</v>
      </c>
      <c r="B932" s="41" t="s">
        <v>2906</v>
      </c>
      <c r="C932" s="287"/>
      <c r="D932" s="288">
        <f t="shared" si="204"/>
        <v>0</v>
      </c>
      <c r="E932" s="287"/>
      <c r="F932" s="287"/>
      <c r="G932" s="287"/>
      <c r="H932" s="287"/>
      <c r="I932" s="302"/>
      <c r="J932" s="303">
        <f t="shared" si="205"/>
        <v>0</v>
      </c>
    </row>
    <row r="933" s="106" customFormat="1" ht="20.1" customHeight="1" spans="1:10">
      <c r="A933" s="279" t="s">
        <v>2907</v>
      </c>
      <c r="B933" s="41" t="s">
        <v>2908</v>
      </c>
      <c r="C933" s="287">
        <v>294</v>
      </c>
      <c r="D933" s="288">
        <f t="shared" si="204"/>
        <v>206</v>
      </c>
      <c r="E933" s="287"/>
      <c r="F933" s="287"/>
      <c r="G933" s="287">
        <v>206</v>
      </c>
      <c r="H933" s="287"/>
      <c r="I933" s="302"/>
      <c r="J933" s="303">
        <f t="shared" si="205"/>
        <v>70.07</v>
      </c>
    </row>
    <row r="934" s="106" customFormat="1" ht="20.1" customHeight="1" spans="1:10">
      <c r="A934" s="279" t="s">
        <v>2909</v>
      </c>
      <c r="B934" s="41" t="s">
        <v>2910</v>
      </c>
      <c r="C934" s="287">
        <v>6</v>
      </c>
      <c r="D934" s="288">
        <f t="shared" si="204"/>
        <v>200</v>
      </c>
      <c r="E934" s="287"/>
      <c r="F934" s="287"/>
      <c r="G934" s="287">
        <v>200</v>
      </c>
      <c r="H934" s="287"/>
      <c r="I934" s="302"/>
      <c r="J934" s="303">
        <f t="shared" si="205"/>
        <v>3333.33</v>
      </c>
    </row>
    <row r="935" s="106" customFormat="1" ht="20.1" customHeight="1" spans="1:10">
      <c r="A935" s="279" t="s">
        <v>2911</v>
      </c>
      <c r="B935" s="41" t="s">
        <v>2912</v>
      </c>
      <c r="C935" s="287"/>
      <c r="D935" s="288">
        <f t="shared" si="204"/>
        <v>0</v>
      </c>
      <c r="E935" s="287"/>
      <c r="F935" s="287"/>
      <c r="G935" s="287"/>
      <c r="H935" s="287"/>
      <c r="I935" s="302"/>
      <c r="J935" s="303">
        <f t="shared" si="205"/>
        <v>0</v>
      </c>
    </row>
    <row r="936" s="106" customFormat="1" ht="20.1" customHeight="1" spans="1:10">
      <c r="A936" s="279" t="s">
        <v>2913</v>
      </c>
      <c r="B936" s="41" t="s">
        <v>2914</v>
      </c>
      <c r="C936" s="287"/>
      <c r="D936" s="288">
        <f t="shared" si="204"/>
        <v>0</v>
      </c>
      <c r="E936" s="287"/>
      <c r="F936" s="287"/>
      <c r="G936" s="287"/>
      <c r="H936" s="287"/>
      <c r="I936" s="302"/>
      <c r="J936" s="303">
        <f t="shared" si="205"/>
        <v>0</v>
      </c>
    </row>
    <row r="937" s="106" customFormat="1" ht="20.1" customHeight="1" spans="1:10">
      <c r="A937" s="279" t="s">
        <v>2915</v>
      </c>
      <c r="B937" s="41" t="s">
        <v>2916</v>
      </c>
      <c r="C937" s="287">
        <v>355</v>
      </c>
      <c r="D937" s="288">
        <f t="shared" si="204"/>
        <v>1006</v>
      </c>
      <c r="E937" s="287">
        <v>49</v>
      </c>
      <c r="F937" s="287"/>
      <c r="G937" s="287">
        <v>927</v>
      </c>
      <c r="H937" s="287"/>
      <c r="I937" s="302">
        <v>30</v>
      </c>
      <c r="J937" s="303">
        <f t="shared" si="205"/>
        <v>283.38</v>
      </c>
    </row>
    <row r="938" s="106" customFormat="1" ht="20.1" customHeight="1" spans="1:10">
      <c r="A938" s="279" t="s">
        <v>2917</v>
      </c>
      <c r="B938" s="41" t="s">
        <v>2918</v>
      </c>
      <c r="C938" s="287">
        <v>39</v>
      </c>
      <c r="D938" s="288">
        <f t="shared" si="204"/>
        <v>6</v>
      </c>
      <c r="E938" s="287"/>
      <c r="F938" s="287"/>
      <c r="G938" s="287">
        <v>6</v>
      </c>
      <c r="H938" s="287"/>
      <c r="I938" s="302"/>
      <c r="J938" s="303">
        <f t="shared" si="205"/>
        <v>15.38</v>
      </c>
    </row>
    <row r="939" s="106" customFormat="1" ht="20.1" customHeight="1" spans="1:10">
      <c r="A939" s="279" t="s">
        <v>2919</v>
      </c>
      <c r="B939" s="41" t="s">
        <v>2920</v>
      </c>
      <c r="C939" s="287">
        <v>13</v>
      </c>
      <c r="D939" s="288">
        <f t="shared" si="204"/>
        <v>0</v>
      </c>
      <c r="E939" s="287"/>
      <c r="F939" s="287"/>
      <c r="G939" s="287"/>
      <c r="H939" s="287"/>
      <c r="I939" s="302"/>
      <c r="J939" s="303">
        <f t="shared" si="205"/>
        <v>-100</v>
      </c>
    </row>
    <row r="940" s="106" customFormat="1" ht="20.1" customHeight="1" spans="1:10">
      <c r="A940" s="279" t="s">
        <v>2921</v>
      </c>
      <c r="B940" s="41" t="s">
        <v>2922</v>
      </c>
      <c r="C940" s="287"/>
      <c r="D940" s="288">
        <f t="shared" si="204"/>
        <v>0</v>
      </c>
      <c r="E940" s="287"/>
      <c r="F940" s="287"/>
      <c r="G940" s="287"/>
      <c r="H940" s="287"/>
      <c r="I940" s="302"/>
      <c r="J940" s="303">
        <f t="shared" si="205"/>
        <v>0</v>
      </c>
    </row>
    <row r="941" s="106" customFormat="1" ht="20.1" customHeight="1" spans="1:10">
      <c r="A941" s="279" t="s">
        <v>2923</v>
      </c>
      <c r="B941" s="41" t="s">
        <v>2924</v>
      </c>
      <c r="C941" s="287"/>
      <c r="D941" s="288">
        <f t="shared" si="204"/>
        <v>0</v>
      </c>
      <c r="E941" s="287"/>
      <c r="F941" s="287"/>
      <c r="G941" s="287"/>
      <c r="H941" s="287"/>
      <c r="I941" s="302"/>
      <c r="J941" s="303">
        <f t="shared" si="205"/>
        <v>0</v>
      </c>
    </row>
    <row r="942" s="106" customFormat="1" ht="20.1" customHeight="1" spans="1:10">
      <c r="A942" s="279" t="s">
        <v>2925</v>
      </c>
      <c r="B942" s="41" t="s">
        <v>2926</v>
      </c>
      <c r="C942" s="287"/>
      <c r="D942" s="288">
        <f t="shared" si="204"/>
        <v>0</v>
      </c>
      <c r="E942" s="287"/>
      <c r="F942" s="287"/>
      <c r="G942" s="287"/>
      <c r="H942" s="287"/>
      <c r="I942" s="302"/>
      <c r="J942" s="303">
        <f t="shared" si="205"/>
        <v>0</v>
      </c>
    </row>
    <row r="943" s="106" customFormat="1" ht="20.1" customHeight="1" spans="1:10">
      <c r="A943" s="279" t="s">
        <v>2927</v>
      </c>
      <c r="B943" s="41" t="s">
        <v>2928</v>
      </c>
      <c r="C943" s="287">
        <v>281</v>
      </c>
      <c r="D943" s="288">
        <f t="shared" si="204"/>
        <v>26</v>
      </c>
      <c r="E943" s="287"/>
      <c r="F943" s="287"/>
      <c r="G943" s="287">
        <v>26</v>
      </c>
      <c r="H943" s="287"/>
      <c r="I943" s="302"/>
      <c r="J943" s="303">
        <f t="shared" si="205"/>
        <v>9.25</v>
      </c>
    </row>
    <row r="944" s="106" customFormat="1" ht="20.1" customHeight="1" spans="1:10">
      <c r="A944" s="279" t="s">
        <v>2929</v>
      </c>
      <c r="B944" s="41" t="s">
        <v>2930</v>
      </c>
      <c r="C944" s="287"/>
      <c r="D944" s="288">
        <f t="shared" si="204"/>
        <v>0</v>
      </c>
      <c r="E944" s="287"/>
      <c r="F944" s="287"/>
      <c r="G944" s="287"/>
      <c r="H944" s="287"/>
      <c r="I944" s="302"/>
      <c r="J944" s="303">
        <f t="shared" si="205"/>
        <v>0</v>
      </c>
    </row>
    <row r="945" s="106" customFormat="1" ht="20.1" customHeight="1" spans="1:10">
      <c r="A945" s="279" t="s">
        <v>2931</v>
      </c>
      <c r="B945" s="41" t="s">
        <v>2876</v>
      </c>
      <c r="C945" s="287"/>
      <c r="D945" s="288">
        <f t="shared" si="204"/>
        <v>0</v>
      </c>
      <c r="E945" s="287"/>
      <c r="F945" s="287"/>
      <c r="G945" s="287"/>
      <c r="H945" s="287"/>
      <c r="I945" s="302"/>
      <c r="J945" s="303">
        <f t="shared" si="205"/>
        <v>0</v>
      </c>
    </row>
    <row r="946" s="106" customFormat="1" ht="20.1" customHeight="1" spans="1:10">
      <c r="A946" s="279" t="s">
        <v>2932</v>
      </c>
      <c r="B946" s="41" t="s">
        <v>2933</v>
      </c>
      <c r="C946" s="287">
        <v>12</v>
      </c>
      <c r="D946" s="288">
        <f t="shared" si="204"/>
        <v>189</v>
      </c>
      <c r="E946" s="287"/>
      <c r="F946" s="287">
        <v>71</v>
      </c>
      <c r="G946" s="287">
        <v>118</v>
      </c>
      <c r="H946" s="287"/>
      <c r="I946" s="302"/>
      <c r="J946" s="303">
        <f t="shared" si="205"/>
        <v>1575</v>
      </c>
    </row>
    <row r="947" s="106" customFormat="1" ht="20.1" customHeight="1" spans="1:10">
      <c r="A947" s="279" t="s">
        <v>2934</v>
      </c>
      <c r="B947" s="41" t="s">
        <v>2935</v>
      </c>
      <c r="C947" s="287">
        <v>2</v>
      </c>
      <c r="D947" s="288">
        <f t="shared" si="204"/>
        <v>5</v>
      </c>
      <c r="E947" s="287"/>
      <c r="F947" s="287"/>
      <c r="G947" s="287"/>
      <c r="H947" s="287"/>
      <c r="I947" s="302">
        <v>5</v>
      </c>
      <c r="J947" s="303">
        <f t="shared" si="205"/>
        <v>250</v>
      </c>
    </row>
    <row r="948" s="106" customFormat="1" ht="20.1" customHeight="1" spans="1:10">
      <c r="A948" s="279" t="s">
        <v>2936</v>
      </c>
      <c r="B948" s="41" t="s">
        <v>2937</v>
      </c>
      <c r="C948" s="287"/>
      <c r="D948" s="288">
        <f t="shared" si="204"/>
        <v>0</v>
      </c>
      <c r="E948" s="287"/>
      <c r="F948" s="287"/>
      <c r="G948" s="287"/>
      <c r="H948" s="287"/>
      <c r="I948" s="302"/>
      <c r="J948" s="303"/>
    </row>
    <row r="949" s="106" customFormat="1" ht="20.1" customHeight="1" spans="1:10">
      <c r="A949" s="279" t="s">
        <v>2938</v>
      </c>
      <c r="B949" s="41" t="s">
        <v>2939</v>
      </c>
      <c r="C949" s="287"/>
      <c r="D949" s="288">
        <f t="shared" si="204"/>
        <v>0</v>
      </c>
      <c r="E949" s="287"/>
      <c r="F949" s="287"/>
      <c r="G949" s="287"/>
      <c r="H949" s="287"/>
      <c r="I949" s="302"/>
      <c r="J949" s="303"/>
    </row>
    <row r="950" s="106" customFormat="1" ht="20.1" customHeight="1" spans="1:10">
      <c r="A950" s="279" t="s">
        <v>2940</v>
      </c>
      <c r="B950" s="41" t="s">
        <v>2941</v>
      </c>
      <c r="C950" s="287">
        <v>112</v>
      </c>
      <c r="D950" s="288">
        <f t="shared" si="204"/>
        <v>14</v>
      </c>
      <c r="E950" s="287"/>
      <c r="F950" s="287"/>
      <c r="G950" s="287">
        <v>9</v>
      </c>
      <c r="H950" s="287"/>
      <c r="I950" s="302">
        <v>5</v>
      </c>
      <c r="J950" s="303">
        <f t="shared" ref="J950:J1013" si="207">ROUND(IF(C950=0,IF(D950=0,0,1),IF(D950=0,-1,D950/C950)),4)*100</f>
        <v>12.5</v>
      </c>
    </row>
    <row r="951" s="107" customFormat="1" ht="20.1" customHeight="1" spans="1:10">
      <c r="A951" s="283" t="s">
        <v>748</v>
      </c>
      <c r="B951" s="689" t="s">
        <v>2942</v>
      </c>
      <c r="C951" s="285">
        <f t="shared" ref="C951:I951" si="208">SUM(C952:C957)</f>
        <v>60021</v>
      </c>
      <c r="D951" s="285">
        <f t="shared" si="204"/>
        <v>33586</v>
      </c>
      <c r="E951" s="285">
        <f t="shared" si="208"/>
        <v>26170</v>
      </c>
      <c r="F951" s="285">
        <f t="shared" si="208"/>
        <v>40</v>
      </c>
      <c r="G951" s="285">
        <f t="shared" si="208"/>
        <v>3548</v>
      </c>
      <c r="H951" s="285">
        <f t="shared" si="208"/>
        <v>1255</v>
      </c>
      <c r="I951" s="285">
        <f t="shared" si="208"/>
        <v>2573</v>
      </c>
      <c r="J951" s="324">
        <f t="shared" si="207"/>
        <v>55.96</v>
      </c>
    </row>
    <row r="952" s="267" customFormat="1" ht="20.1" customHeight="1" spans="1:11">
      <c r="A952" s="279" t="s">
        <v>2943</v>
      </c>
      <c r="B952" s="41" t="s">
        <v>2944</v>
      </c>
      <c r="C952" s="287">
        <v>15105</v>
      </c>
      <c r="D952" s="288">
        <f t="shared" si="204"/>
        <v>517</v>
      </c>
      <c r="E952" s="287"/>
      <c r="F952" s="287"/>
      <c r="G952" s="287">
        <v>517</v>
      </c>
      <c r="H952" s="287"/>
      <c r="I952" s="302"/>
      <c r="J952" s="303">
        <f t="shared" si="207"/>
        <v>3.42</v>
      </c>
      <c r="K952" s="351" t="s">
        <v>2945</v>
      </c>
    </row>
    <row r="953" s="267" customFormat="1" ht="20.1" customHeight="1" spans="1:10">
      <c r="A953" s="279" t="s">
        <v>2946</v>
      </c>
      <c r="B953" s="41" t="s">
        <v>2947</v>
      </c>
      <c r="C953" s="287">
        <v>25265</v>
      </c>
      <c r="D953" s="288">
        <f t="shared" si="204"/>
        <v>2607</v>
      </c>
      <c r="E953" s="287"/>
      <c r="F953" s="287"/>
      <c r="G953" s="287">
        <v>2607</v>
      </c>
      <c r="H953" s="287"/>
      <c r="I953" s="302"/>
      <c r="J953" s="303">
        <f t="shared" si="207"/>
        <v>10.32</v>
      </c>
    </row>
    <row r="954" s="267" customFormat="1" ht="20.1" customHeight="1" spans="1:10">
      <c r="A954" s="279" t="s">
        <v>2948</v>
      </c>
      <c r="B954" s="41" t="s">
        <v>2949</v>
      </c>
      <c r="C954" s="287">
        <v>1227</v>
      </c>
      <c r="D954" s="288">
        <f t="shared" si="204"/>
        <v>87</v>
      </c>
      <c r="E954" s="287"/>
      <c r="F954" s="287"/>
      <c r="G954" s="287">
        <v>87</v>
      </c>
      <c r="H954" s="287"/>
      <c r="I954" s="302"/>
      <c r="J954" s="303">
        <f t="shared" si="207"/>
        <v>7.09</v>
      </c>
    </row>
    <row r="955" s="106" customFormat="1" ht="20.1" customHeight="1" spans="1:10">
      <c r="A955" s="279" t="s">
        <v>2950</v>
      </c>
      <c r="B955" s="41" t="s">
        <v>2951</v>
      </c>
      <c r="C955" s="287">
        <v>1189</v>
      </c>
      <c r="D955" s="288">
        <f t="shared" si="204"/>
        <v>0</v>
      </c>
      <c r="E955" s="287"/>
      <c r="F955" s="287"/>
      <c r="G955" s="287"/>
      <c r="H955" s="287"/>
      <c r="I955" s="302"/>
      <c r="J955" s="303">
        <f t="shared" si="207"/>
        <v>-100</v>
      </c>
    </row>
    <row r="956" s="106" customFormat="1" ht="20.1" customHeight="1" spans="1:10">
      <c r="A956" s="279" t="s">
        <v>2952</v>
      </c>
      <c r="B956" s="41" t="s">
        <v>2953</v>
      </c>
      <c r="C956" s="287"/>
      <c r="D956" s="288">
        <f t="shared" si="204"/>
        <v>0</v>
      </c>
      <c r="E956" s="287"/>
      <c r="F956" s="287"/>
      <c r="G956" s="287"/>
      <c r="H956" s="287"/>
      <c r="I956" s="302"/>
      <c r="J956" s="303">
        <f t="shared" si="207"/>
        <v>0</v>
      </c>
    </row>
    <row r="957" s="106" customFormat="1" ht="20.1" customHeight="1" spans="1:10">
      <c r="A957" s="279" t="s">
        <v>2954</v>
      </c>
      <c r="B957" s="41" t="s">
        <v>2955</v>
      </c>
      <c r="C957" s="287">
        <v>17235</v>
      </c>
      <c r="D957" s="288">
        <f t="shared" si="204"/>
        <v>30375</v>
      </c>
      <c r="E957" s="287">
        <v>26170</v>
      </c>
      <c r="F957" s="287">
        <v>40</v>
      </c>
      <c r="G957" s="287">
        <v>337</v>
      </c>
      <c r="H957" s="287">
        <v>1255</v>
      </c>
      <c r="I957" s="302">
        <v>2573</v>
      </c>
      <c r="J957" s="303">
        <f t="shared" si="207"/>
        <v>176.24</v>
      </c>
    </row>
    <row r="958" s="106" customFormat="1" ht="20.1" customHeight="1" spans="1:10">
      <c r="A958" s="283" t="s">
        <v>750</v>
      </c>
      <c r="B958" s="323" t="s">
        <v>2956</v>
      </c>
      <c r="C958" s="285">
        <f t="shared" ref="C958:I958" si="209">SUM(C959:C963)</f>
        <v>7043</v>
      </c>
      <c r="D958" s="285">
        <f t="shared" si="204"/>
        <v>7133</v>
      </c>
      <c r="E958" s="285">
        <f t="shared" si="209"/>
        <v>0</v>
      </c>
      <c r="F958" s="285">
        <f t="shared" si="209"/>
        <v>1321</v>
      </c>
      <c r="G958" s="285">
        <f t="shared" si="209"/>
        <v>718</v>
      </c>
      <c r="H958" s="285">
        <f t="shared" si="209"/>
        <v>0</v>
      </c>
      <c r="I958" s="285">
        <f t="shared" si="209"/>
        <v>5094</v>
      </c>
      <c r="J958" s="324">
        <f t="shared" si="207"/>
        <v>101.28</v>
      </c>
    </row>
    <row r="959" s="106" customFormat="1" ht="20.1" customHeight="1" spans="1:10">
      <c r="A959" s="279" t="s">
        <v>2957</v>
      </c>
      <c r="B959" s="41" t="s">
        <v>2958</v>
      </c>
      <c r="C959" s="287">
        <v>1543</v>
      </c>
      <c r="D959" s="288">
        <f t="shared" si="204"/>
        <v>2123</v>
      </c>
      <c r="E959" s="287"/>
      <c r="F959" s="287">
        <v>1311</v>
      </c>
      <c r="G959" s="287">
        <v>712</v>
      </c>
      <c r="H959" s="287"/>
      <c r="I959" s="302">
        <v>100</v>
      </c>
      <c r="J959" s="303">
        <f t="shared" si="207"/>
        <v>137.59</v>
      </c>
    </row>
    <row r="960" s="267" customFormat="1" ht="20.1" customHeight="1" spans="1:11">
      <c r="A960" s="279" t="s">
        <v>2959</v>
      </c>
      <c r="B960" s="41" t="s">
        <v>2960</v>
      </c>
      <c r="C960" s="287">
        <v>5418</v>
      </c>
      <c r="D960" s="288">
        <f t="shared" si="204"/>
        <v>4994</v>
      </c>
      <c r="E960" s="287"/>
      <c r="F960" s="287"/>
      <c r="G960" s="287"/>
      <c r="H960" s="287"/>
      <c r="I960" s="302">
        <v>4994</v>
      </c>
      <c r="J960" s="303">
        <f t="shared" si="207"/>
        <v>92.17</v>
      </c>
      <c r="K960" s="352" t="s">
        <v>2945</v>
      </c>
    </row>
    <row r="961" s="106" customFormat="1" ht="20.1" customHeight="1" spans="1:10">
      <c r="A961" s="279" t="s">
        <v>2961</v>
      </c>
      <c r="B961" s="41" t="s">
        <v>2962</v>
      </c>
      <c r="C961" s="287">
        <v>50</v>
      </c>
      <c r="D961" s="288">
        <f t="shared" si="204"/>
        <v>0</v>
      </c>
      <c r="E961" s="287"/>
      <c r="F961" s="287"/>
      <c r="G961" s="287"/>
      <c r="H961" s="287"/>
      <c r="I961" s="302"/>
      <c r="J961" s="303">
        <f t="shared" si="207"/>
        <v>-100</v>
      </c>
    </row>
    <row r="962" s="107" customFormat="1" ht="20.1" customHeight="1" spans="1:10">
      <c r="A962" s="279" t="s">
        <v>2963</v>
      </c>
      <c r="B962" s="41" t="s">
        <v>2964</v>
      </c>
      <c r="C962" s="287">
        <v>32</v>
      </c>
      <c r="D962" s="288">
        <f t="shared" si="204"/>
        <v>0</v>
      </c>
      <c r="E962" s="287"/>
      <c r="F962" s="287"/>
      <c r="G962" s="287"/>
      <c r="H962" s="287"/>
      <c r="I962" s="302"/>
      <c r="J962" s="303">
        <f t="shared" si="207"/>
        <v>-100</v>
      </c>
    </row>
    <row r="963" s="106" customFormat="1" ht="20.1" customHeight="1" spans="1:10">
      <c r="A963" s="279" t="s">
        <v>2965</v>
      </c>
      <c r="B963" s="41" t="s">
        <v>2966</v>
      </c>
      <c r="C963" s="287"/>
      <c r="D963" s="288">
        <f t="shared" si="204"/>
        <v>16</v>
      </c>
      <c r="E963" s="287"/>
      <c r="F963" s="287">
        <v>10</v>
      </c>
      <c r="G963" s="287">
        <v>6</v>
      </c>
      <c r="H963" s="287"/>
      <c r="I963" s="302"/>
      <c r="J963" s="303">
        <f t="shared" si="207"/>
        <v>100</v>
      </c>
    </row>
    <row r="964" s="106" customFormat="1" ht="20.1" customHeight="1" spans="1:10">
      <c r="A964" s="283" t="s">
        <v>752</v>
      </c>
      <c r="B964" s="323" t="s">
        <v>2967</v>
      </c>
      <c r="C964" s="285">
        <f t="shared" ref="C964:I964" si="210">SUM(C965:C969)</f>
        <v>258</v>
      </c>
      <c r="D964" s="285">
        <f t="shared" si="204"/>
        <v>1242</v>
      </c>
      <c r="E964" s="285">
        <f t="shared" si="210"/>
        <v>753</v>
      </c>
      <c r="F964" s="285">
        <f t="shared" si="210"/>
        <v>0</v>
      </c>
      <c r="G964" s="285">
        <f t="shared" si="210"/>
        <v>427</v>
      </c>
      <c r="H964" s="285">
        <f t="shared" si="210"/>
        <v>0</v>
      </c>
      <c r="I964" s="285">
        <f t="shared" si="210"/>
        <v>62</v>
      </c>
      <c r="J964" s="324">
        <f t="shared" si="207"/>
        <v>481.4</v>
      </c>
    </row>
    <row r="965" s="106" customFormat="1" ht="20.1" customHeight="1" spans="1:10">
      <c r="A965" s="279" t="s">
        <v>2968</v>
      </c>
      <c r="B965" s="41" t="s">
        <v>2969</v>
      </c>
      <c r="C965" s="353"/>
      <c r="D965" s="288">
        <f t="shared" si="204"/>
        <v>0</v>
      </c>
      <c r="E965" s="287"/>
      <c r="F965" s="287"/>
      <c r="G965" s="287"/>
      <c r="H965" s="287"/>
      <c r="I965" s="302"/>
      <c r="J965" s="303">
        <f t="shared" si="207"/>
        <v>0</v>
      </c>
    </row>
    <row r="966" s="106" customFormat="1" ht="20.1" customHeight="1" spans="1:10">
      <c r="A966" s="279" t="s">
        <v>2970</v>
      </c>
      <c r="B966" s="41" t="s">
        <v>2971</v>
      </c>
      <c r="C966" s="353">
        <v>258</v>
      </c>
      <c r="D966" s="288">
        <f t="shared" ref="D966:D1029" si="211">SUM(E966:I966)</f>
        <v>1242</v>
      </c>
      <c r="E966" s="287">
        <v>753</v>
      </c>
      <c r="F966" s="287"/>
      <c r="G966" s="287">
        <v>427</v>
      </c>
      <c r="H966" s="287"/>
      <c r="I966" s="302">
        <v>62</v>
      </c>
      <c r="J966" s="303">
        <f t="shared" si="207"/>
        <v>481.4</v>
      </c>
    </row>
    <row r="967" s="106" customFormat="1" ht="20.1" customHeight="1" spans="1:10">
      <c r="A967" s="279" t="s">
        <v>2972</v>
      </c>
      <c r="B967" s="41" t="s">
        <v>2973</v>
      </c>
      <c r="C967" s="353"/>
      <c r="D967" s="288">
        <f t="shared" si="211"/>
        <v>0</v>
      </c>
      <c r="E967" s="287"/>
      <c r="F967" s="287"/>
      <c r="G967" s="287"/>
      <c r="H967" s="287"/>
      <c r="I967" s="302"/>
      <c r="J967" s="303">
        <f t="shared" si="207"/>
        <v>0</v>
      </c>
    </row>
    <row r="968" s="107" customFormat="1" ht="20.1" customHeight="1" spans="1:10">
      <c r="A968" s="279" t="s">
        <v>2974</v>
      </c>
      <c r="B968" s="41" t="s">
        <v>2975</v>
      </c>
      <c r="C968" s="353"/>
      <c r="D968" s="288">
        <f t="shared" si="211"/>
        <v>0</v>
      </c>
      <c r="E968" s="287"/>
      <c r="F968" s="287"/>
      <c r="G968" s="287"/>
      <c r="H968" s="287"/>
      <c r="I968" s="302"/>
      <c r="J968" s="303">
        <f t="shared" si="207"/>
        <v>0</v>
      </c>
    </row>
    <row r="969" s="106" customFormat="1" ht="20.1" customHeight="1" spans="1:10">
      <c r="A969" s="279" t="s">
        <v>2976</v>
      </c>
      <c r="B969" s="41" t="s">
        <v>2977</v>
      </c>
      <c r="C969" s="287"/>
      <c r="D969" s="288">
        <f t="shared" si="211"/>
        <v>0</v>
      </c>
      <c r="E969" s="287"/>
      <c r="F969" s="287"/>
      <c r="G969" s="287"/>
      <c r="H969" s="287"/>
      <c r="I969" s="302"/>
      <c r="J969" s="303">
        <f t="shared" si="207"/>
        <v>0</v>
      </c>
    </row>
    <row r="970" s="106" customFormat="1" ht="20.1" customHeight="1" spans="1:10">
      <c r="A970" s="283" t="s">
        <v>754</v>
      </c>
      <c r="B970" s="323" t="s">
        <v>2978</v>
      </c>
      <c r="C970" s="285">
        <f t="shared" ref="C970:I970" si="212">SUM(C971:C972)</f>
        <v>0</v>
      </c>
      <c r="D970" s="285">
        <f t="shared" si="211"/>
        <v>169</v>
      </c>
      <c r="E970" s="285">
        <f t="shared" si="212"/>
        <v>0</v>
      </c>
      <c r="F970" s="285">
        <f t="shared" si="212"/>
        <v>0</v>
      </c>
      <c r="G970" s="285">
        <f t="shared" si="212"/>
        <v>169</v>
      </c>
      <c r="H970" s="285">
        <f t="shared" si="212"/>
        <v>0</v>
      </c>
      <c r="I970" s="285">
        <f t="shared" si="212"/>
        <v>0</v>
      </c>
      <c r="J970" s="324">
        <f t="shared" si="207"/>
        <v>100</v>
      </c>
    </row>
    <row r="971" s="106" customFormat="1" ht="20.1" customHeight="1" spans="1:10">
      <c r="A971" s="279" t="s">
        <v>2979</v>
      </c>
      <c r="B971" s="41" t="s">
        <v>2980</v>
      </c>
      <c r="C971" s="287">
        <v>0</v>
      </c>
      <c r="D971" s="288">
        <f t="shared" si="211"/>
        <v>0</v>
      </c>
      <c r="E971" s="287"/>
      <c r="F971" s="287"/>
      <c r="G971" s="287"/>
      <c r="H971" s="287"/>
      <c r="I971" s="302"/>
      <c r="J971" s="303">
        <f t="shared" si="207"/>
        <v>0</v>
      </c>
    </row>
    <row r="972" s="106" customFormat="1" ht="20.1" customHeight="1" spans="1:10">
      <c r="A972" s="279" t="s">
        <v>2981</v>
      </c>
      <c r="B972" s="41" t="s">
        <v>2982</v>
      </c>
      <c r="C972" s="287"/>
      <c r="D972" s="288">
        <f t="shared" si="211"/>
        <v>169</v>
      </c>
      <c r="E972" s="287"/>
      <c r="F972" s="287"/>
      <c r="G972" s="287">
        <v>169</v>
      </c>
      <c r="H972" s="287"/>
      <c r="I972" s="302"/>
      <c r="J972" s="303">
        <f t="shared" si="207"/>
        <v>100</v>
      </c>
    </row>
    <row r="973" s="106" customFormat="1" ht="20.1" customHeight="1" spans="1:10">
      <c r="A973" s="283" t="s">
        <v>756</v>
      </c>
      <c r="B973" s="323" t="s">
        <v>2983</v>
      </c>
      <c r="C973" s="285">
        <f t="shared" ref="C973:I973" si="213">SUM(C974:C975)</f>
        <v>1760</v>
      </c>
      <c r="D973" s="285">
        <f t="shared" si="211"/>
        <v>1003</v>
      </c>
      <c r="E973" s="285">
        <f t="shared" si="213"/>
        <v>0</v>
      </c>
      <c r="F973" s="285">
        <f t="shared" si="213"/>
        <v>0</v>
      </c>
      <c r="G973" s="285">
        <f t="shared" si="213"/>
        <v>1000</v>
      </c>
      <c r="H973" s="285">
        <f t="shared" si="213"/>
        <v>0</v>
      </c>
      <c r="I973" s="285">
        <f t="shared" si="213"/>
        <v>3</v>
      </c>
      <c r="J973" s="324">
        <f t="shared" si="207"/>
        <v>56.99</v>
      </c>
    </row>
    <row r="974" s="107" customFormat="1" ht="20.1" customHeight="1" spans="1:10">
      <c r="A974" s="279" t="s">
        <v>2984</v>
      </c>
      <c r="B974" s="41" t="s">
        <v>2985</v>
      </c>
      <c r="C974" s="287">
        <v>0</v>
      </c>
      <c r="D974" s="288">
        <f t="shared" si="211"/>
        <v>0</v>
      </c>
      <c r="E974" s="287"/>
      <c r="F974" s="287"/>
      <c r="G974" s="287"/>
      <c r="H974" s="287"/>
      <c r="I974" s="302"/>
      <c r="J974" s="303">
        <f t="shared" si="207"/>
        <v>0</v>
      </c>
    </row>
    <row r="975" s="106" customFormat="1" ht="20.1" customHeight="1" spans="1:10">
      <c r="A975" s="279" t="s">
        <v>2986</v>
      </c>
      <c r="B975" s="41" t="s">
        <v>757</v>
      </c>
      <c r="C975" s="287">
        <v>1760</v>
      </c>
      <c r="D975" s="288">
        <f t="shared" si="211"/>
        <v>1003</v>
      </c>
      <c r="E975" s="287"/>
      <c r="F975" s="287"/>
      <c r="G975" s="287">
        <v>1000</v>
      </c>
      <c r="H975" s="287"/>
      <c r="I975" s="302">
        <v>3</v>
      </c>
      <c r="J975" s="303">
        <f t="shared" si="207"/>
        <v>56.99</v>
      </c>
    </row>
    <row r="976" s="106" customFormat="1" ht="20.1" customHeight="1" spans="1:10">
      <c r="A976" s="280" t="s">
        <v>758</v>
      </c>
      <c r="B976" s="281" t="s">
        <v>759</v>
      </c>
      <c r="C976" s="282">
        <f t="shared" ref="C976:I976" si="214">C977+C998+C1008+C1018+C1025</f>
        <v>2394</v>
      </c>
      <c r="D976" s="282">
        <f t="shared" si="211"/>
        <v>5106</v>
      </c>
      <c r="E976" s="282">
        <f t="shared" si="214"/>
        <v>292</v>
      </c>
      <c r="F976" s="282">
        <f t="shared" si="214"/>
        <v>66</v>
      </c>
      <c r="G976" s="282">
        <f t="shared" si="214"/>
        <v>2392</v>
      </c>
      <c r="H976" s="282">
        <f t="shared" si="214"/>
        <v>0</v>
      </c>
      <c r="I976" s="282">
        <f t="shared" si="214"/>
        <v>2356</v>
      </c>
      <c r="J976" s="296">
        <f t="shared" si="207"/>
        <v>213.28</v>
      </c>
    </row>
    <row r="977" s="107" customFormat="1" ht="20.1" customHeight="1" spans="1:10">
      <c r="A977" s="283" t="s">
        <v>760</v>
      </c>
      <c r="B977" s="323" t="s">
        <v>2987</v>
      </c>
      <c r="C977" s="285">
        <f t="shared" ref="C977:I977" si="215">SUM(C978:C997)</f>
        <v>2383</v>
      </c>
      <c r="D977" s="285">
        <f t="shared" si="211"/>
        <v>4669</v>
      </c>
      <c r="E977" s="285">
        <f t="shared" si="215"/>
        <v>292</v>
      </c>
      <c r="F977" s="285">
        <f t="shared" si="215"/>
        <v>66</v>
      </c>
      <c r="G977" s="285">
        <f t="shared" si="215"/>
        <v>1955</v>
      </c>
      <c r="H977" s="285">
        <f t="shared" si="215"/>
        <v>0</v>
      </c>
      <c r="I977" s="285">
        <f t="shared" si="215"/>
        <v>2356</v>
      </c>
      <c r="J977" s="324">
        <f t="shared" si="207"/>
        <v>195.93</v>
      </c>
    </row>
    <row r="978" s="106" customFormat="1" ht="20.1" customHeight="1" spans="1:10">
      <c r="A978" s="279" t="s">
        <v>2988</v>
      </c>
      <c r="B978" s="41" t="s">
        <v>1458</v>
      </c>
      <c r="C978" s="287">
        <v>435</v>
      </c>
      <c r="D978" s="288">
        <f t="shared" si="211"/>
        <v>37</v>
      </c>
      <c r="E978" s="287"/>
      <c r="F978" s="287"/>
      <c r="G978" s="287"/>
      <c r="H978" s="287"/>
      <c r="I978" s="302">
        <v>37</v>
      </c>
      <c r="J978" s="303">
        <f t="shared" si="207"/>
        <v>8.51</v>
      </c>
    </row>
    <row r="979" s="106" customFormat="1" ht="20.1" customHeight="1" spans="1:10">
      <c r="A979" s="279" t="s">
        <v>2989</v>
      </c>
      <c r="B979" s="41" t="s">
        <v>1460</v>
      </c>
      <c r="C979" s="287"/>
      <c r="D979" s="288">
        <f t="shared" si="211"/>
        <v>0</v>
      </c>
      <c r="E979" s="287"/>
      <c r="F979" s="287"/>
      <c r="G979" s="287"/>
      <c r="H979" s="287"/>
      <c r="I979" s="302"/>
      <c r="J979" s="303">
        <f t="shared" si="207"/>
        <v>0</v>
      </c>
    </row>
    <row r="980" s="107" customFormat="1" ht="20.1" customHeight="1" spans="1:10">
      <c r="A980" s="279" t="s">
        <v>2990</v>
      </c>
      <c r="B980" s="41" t="s">
        <v>1462</v>
      </c>
      <c r="C980" s="287"/>
      <c r="D980" s="288">
        <f t="shared" si="211"/>
        <v>0</v>
      </c>
      <c r="E980" s="287"/>
      <c r="F980" s="287"/>
      <c r="G980" s="287"/>
      <c r="H980" s="287"/>
      <c r="I980" s="302"/>
      <c r="J980" s="303">
        <f t="shared" si="207"/>
        <v>0</v>
      </c>
    </row>
    <row r="981" s="107" customFormat="1" ht="20.1" customHeight="1" spans="1:10">
      <c r="A981" s="279" t="s">
        <v>2991</v>
      </c>
      <c r="B981" s="41" t="s">
        <v>2992</v>
      </c>
      <c r="C981" s="287">
        <v>1164</v>
      </c>
      <c r="D981" s="288">
        <f t="shared" si="211"/>
        <v>752</v>
      </c>
      <c r="E981" s="287"/>
      <c r="F981" s="287"/>
      <c r="G981" s="287">
        <v>752</v>
      </c>
      <c r="H981" s="287"/>
      <c r="I981" s="302"/>
      <c r="J981" s="303">
        <f t="shared" si="207"/>
        <v>64.6</v>
      </c>
    </row>
    <row r="982" s="106" customFormat="1" ht="20.1" customHeight="1" spans="1:10">
      <c r="A982" s="279" t="s">
        <v>2993</v>
      </c>
      <c r="B982" s="41" t="s">
        <v>2994</v>
      </c>
      <c r="C982" s="287">
        <v>411</v>
      </c>
      <c r="D982" s="288">
        <f t="shared" si="211"/>
        <v>3617</v>
      </c>
      <c r="E982" s="287">
        <v>292</v>
      </c>
      <c r="F982" s="287"/>
      <c r="G982" s="287">
        <v>1049</v>
      </c>
      <c r="H982" s="287"/>
      <c r="I982" s="302">
        <v>2276</v>
      </c>
      <c r="J982" s="303">
        <f t="shared" si="207"/>
        <v>880.05</v>
      </c>
    </row>
    <row r="983" s="106" customFormat="1" ht="20.1" customHeight="1" spans="1:10">
      <c r="A983" s="279" t="s">
        <v>2995</v>
      </c>
      <c r="B983" s="41" t="s">
        <v>2996</v>
      </c>
      <c r="C983" s="287"/>
      <c r="D983" s="288">
        <f t="shared" si="211"/>
        <v>0</v>
      </c>
      <c r="E983" s="287"/>
      <c r="F983" s="287"/>
      <c r="G983" s="287"/>
      <c r="H983" s="287"/>
      <c r="I983" s="302"/>
      <c r="J983" s="303">
        <f t="shared" si="207"/>
        <v>0</v>
      </c>
    </row>
    <row r="984" s="106" customFormat="1" ht="20.1" customHeight="1" spans="1:10">
      <c r="A984" s="279" t="s">
        <v>2997</v>
      </c>
      <c r="B984" s="41" t="s">
        <v>2998</v>
      </c>
      <c r="C984" s="287"/>
      <c r="D984" s="288">
        <f t="shared" si="211"/>
        <v>10</v>
      </c>
      <c r="E984" s="287"/>
      <c r="F984" s="287"/>
      <c r="G984" s="287">
        <v>10</v>
      </c>
      <c r="H984" s="287"/>
      <c r="I984" s="302"/>
      <c r="J984" s="303">
        <f t="shared" si="207"/>
        <v>100</v>
      </c>
    </row>
    <row r="985" s="106" customFormat="1" ht="20.1" customHeight="1" spans="1:10">
      <c r="A985" s="279" t="s">
        <v>2999</v>
      </c>
      <c r="B985" s="41" t="s">
        <v>3000</v>
      </c>
      <c r="C985" s="287">
        <v>2</v>
      </c>
      <c r="D985" s="288">
        <f t="shared" si="211"/>
        <v>0</v>
      </c>
      <c r="E985" s="287"/>
      <c r="F985" s="287"/>
      <c r="G985" s="287"/>
      <c r="H985" s="287"/>
      <c r="I985" s="302"/>
      <c r="J985" s="303">
        <f t="shared" si="207"/>
        <v>-100</v>
      </c>
    </row>
    <row r="986" s="106" customFormat="1" ht="20.1" customHeight="1" spans="1:10">
      <c r="A986" s="279" t="s">
        <v>3001</v>
      </c>
      <c r="B986" s="41" t="s">
        <v>3002</v>
      </c>
      <c r="C986" s="287"/>
      <c r="D986" s="288">
        <f t="shared" si="211"/>
        <v>0</v>
      </c>
      <c r="E986" s="287"/>
      <c r="F986" s="287"/>
      <c r="G986" s="287"/>
      <c r="H986" s="287"/>
      <c r="I986" s="302"/>
      <c r="J986" s="303">
        <f t="shared" si="207"/>
        <v>0</v>
      </c>
    </row>
    <row r="987" s="106" customFormat="1" ht="20.1" customHeight="1" spans="1:10">
      <c r="A987" s="279" t="s">
        <v>3003</v>
      </c>
      <c r="B987" s="41" t="s">
        <v>3004</v>
      </c>
      <c r="C987" s="287"/>
      <c r="D987" s="288">
        <f t="shared" si="211"/>
        <v>0</v>
      </c>
      <c r="E987" s="287"/>
      <c r="F987" s="287"/>
      <c r="G987" s="287"/>
      <c r="H987" s="287"/>
      <c r="I987" s="302"/>
      <c r="J987" s="303">
        <f t="shared" si="207"/>
        <v>0</v>
      </c>
    </row>
    <row r="988" s="106" customFormat="1" ht="20.1" customHeight="1" spans="1:10">
      <c r="A988" s="279" t="s">
        <v>3005</v>
      </c>
      <c r="B988" s="41" t="s">
        <v>3006</v>
      </c>
      <c r="C988" s="287"/>
      <c r="D988" s="288">
        <f t="shared" si="211"/>
        <v>0</v>
      </c>
      <c r="E988" s="287"/>
      <c r="F988" s="287"/>
      <c r="G988" s="287"/>
      <c r="H988" s="287"/>
      <c r="I988" s="302"/>
      <c r="J988" s="303">
        <f t="shared" si="207"/>
        <v>0</v>
      </c>
    </row>
    <row r="989" s="106" customFormat="1" ht="20.1" customHeight="1" spans="1:10">
      <c r="A989" s="279" t="s">
        <v>3007</v>
      </c>
      <c r="B989" s="41" t="s">
        <v>3008</v>
      </c>
      <c r="C989" s="287"/>
      <c r="D989" s="288">
        <f t="shared" si="211"/>
        <v>0</v>
      </c>
      <c r="E989" s="287"/>
      <c r="F989" s="287"/>
      <c r="G989" s="287"/>
      <c r="H989" s="287"/>
      <c r="I989" s="302"/>
      <c r="J989" s="303">
        <f t="shared" si="207"/>
        <v>0</v>
      </c>
    </row>
    <row r="990" s="106" customFormat="1" ht="20.1" customHeight="1" spans="1:10">
      <c r="A990" s="279" t="s">
        <v>3009</v>
      </c>
      <c r="B990" s="41" t="s">
        <v>3010</v>
      </c>
      <c r="C990" s="287"/>
      <c r="D990" s="288">
        <f t="shared" si="211"/>
        <v>0</v>
      </c>
      <c r="E990" s="287"/>
      <c r="F990" s="287"/>
      <c r="G990" s="287"/>
      <c r="H990" s="287"/>
      <c r="I990" s="302"/>
      <c r="J990" s="303">
        <f t="shared" si="207"/>
        <v>0</v>
      </c>
    </row>
    <row r="991" s="106" customFormat="1" ht="20.1" customHeight="1" spans="1:10">
      <c r="A991" s="279" t="s">
        <v>3011</v>
      </c>
      <c r="B991" s="41" t="s">
        <v>3012</v>
      </c>
      <c r="C991" s="287"/>
      <c r="D991" s="288">
        <f t="shared" si="211"/>
        <v>0</v>
      </c>
      <c r="E991" s="287"/>
      <c r="F991" s="287"/>
      <c r="G991" s="287"/>
      <c r="H991" s="287"/>
      <c r="I991" s="302"/>
      <c r="J991" s="303">
        <f t="shared" si="207"/>
        <v>0</v>
      </c>
    </row>
    <row r="992" s="106" customFormat="1" ht="20.1" customHeight="1" spans="1:10">
      <c r="A992" s="279" t="s">
        <v>3013</v>
      </c>
      <c r="B992" s="41" t="s">
        <v>3014</v>
      </c>
      <c r="C992" s="287"/>
      <c r="D992" s="288">
        <f t="shared" si="211"/>
        <v>0</v>
      </c>
      <c r="E992" s="287"/>
      <c r="F992" s="287"/>
      <c r="G992" s="287"/>
      <c r="H992" s="287"/>
      <c r="I992" s="302"/>
      <c r="J992" s="303">
        <f t="shared" si="207"/>
        <v>0</v>
      </c>
    </row>
    <row r="993" s="106" customFormat="1" ht="20.1" customHeight="1" spans="1:10">
      <c r="A993" s="279" t="s">
        <v>3015</v>
      </c>
      <c r="B993" s="41" t="s">
        <v>3016</v>
      </c>
      <c r="C993" s="287"/>
      <c r="D993" s="288">
        <f t="shared" si="211"/>
        <v>0</v>
      </c>
      <c r="E993" s="287"/>
      <c r="F993" s="287"/>
      <c r="G993" s="287"/>
      <c r="H993" s="287"/>
      <c r="I993" s="302"/>
      <c r="J993" s="303">
        <f t="shared" si="207"/>
        <v>0</v>
      </c>
    </row>
    <row r="994" s="106" customFormat="1" ht="20.1" customHeight="1" spans="1:10">
      <c r="A994" s="279" t="s">
        <v>3017</v>
      </c>
      <c r="B994" s="41" t="s">
        <v>3018</v>
      </c>
      <c r="C994" s="287"/>
      <c r="D994" s="288">
        <f t="shared" si="211"/>
        <v>0</v>
      </c>
      <c r="E994" s="287"/>
      <c r="F994" s="287"/>
      <c r="G994" s="287"/>
      <c r="H994" s="287"/>
      <c r="I994" s="302"/>
      <c r="J994" s="303">
        <f t="shared" si="207"/>
        <v>0</v>
      </c>
    </row>
    <row r="995" s="106" customFormat="1" ht="20.1" customHeight="1" spans="1:10">
      <c r="A995" s="279" t="s">
        <v>3019</v>
      </c>
      <c r="B995" s="41" t="s">
        <v>3020</v>
      </c>
      <c r="C995" s="287"/>
      <c r="D995" s="288">
        <f t="shared" si="211"/>
        <v>0</v>
      </c>
      <c r="E995" s="287"/>
      <c r="F995" s="287"/>
      <c r="G995" s="287"/>
      <c r="H995" s="287"/>
      <c r="I995" s="302"/>
      <c r="J995" s="303">
        <f t="shared" si="207"/>
        <v>0</v>
      </c>
    </row>
    <row r="996" s="106" customFormat="1" ht="20.1" customHeight="1" spans="1:10">
      <c r="A996" s="279" t="s">
        <v>3021</v>
      </c>
      <c r="B996" s="41" t="s">
        <v>3022</v>
      </c>
      <c r="C996" s="287"/>
      <c r="D996" s="288">
        <f t="shared" si="211"/>
        <v>0</v>
      </c>
      <c r="E996" s="287"/>
      <c r="F996" s="287"/>
      <c r="G996" s="287"/>
      <c r="H996" s="287"/>
      <c r="I996" s="302"/>
      <c r="J996" s="303">
        <f t="shared" si="207"/>
        <v>0</v>
      </c>
    </row>
    <row r="997" s="106" customFormat="1" ht="20.1" customHeight="1" spans="1:10">
      <c r="A997" s="279" t="s">
        <v>3023</v>
      </c>
      <c r="B997" s="41" t="s">
        <v>3024</v>
      </c>
      <c r="C997" s="287">
        <v>371</v>
      </c>
      <c r="D997" s="288">
        <f t="shared" si="211"/>
        <v>253</v>
      </c>
      <c r="E997" s="287"/>
      <c r="F997" s="287">
        <v>66</v>
      </c>
      <c r="G997" s="287">
        <v>144</v>
      </c>
      <c r="H997" s="287"/>
      <c r="I997" s="302">
        <v>43</v>
      </c>
      <c r="J997" s="303">
        <f t="shared" si="207"/>
        <v>68.19</v>
      </c>
    </row>
    <row r="998" s="106" customFormat="1" ht="20.1" customHeight="1" spans="1:10">
      <c r="A998" s="283" t="s">
        <v>762</v>
      </c>
      <c r="B998" s="323" t="s">
        <v>3025</v>
      </c>
      <c r="C998" s="285">
        <f t="shared" ref="C998:I998" si="216">SUM(C999:C1007)</f>
        <v>7</v>
      </c>
      <c r="D998" s="285">
        <f t="shared" si="211"/>
        <v>0</v>
      </c>
      <c r="E998" s="285">
        <f t="shared" si="216"/>
        <v>0</v>
      </c>
      <c r="F998" s="285">
        <f t="shared" si="216"/>
        <v>0</v>
      </c>
      <c r="G998" s="285">
        <f t="shared" si="216"/>
        <v>0</v>
      </c>
      <c r="H998" s="285">
        <f t="shared" si="216"/>
        <v>0</v>
      </c>
      <c r="I998" s="285">
        <f t="shared" si="216"/>
        <v>0</v>
      </c>
      <c r="J998" s="324">
        <f t="shared" si="207"/>
        <v>-100</v>
      </c>
    </row>
    <row r="999" s="106" customFormat="1" ht="20.1" customHeight="1" spans="1:10">
      <c r="A999" s="279" t="s">
        <v>3026</v>
      </c>
      <c r="B999" s="41" t="s">
        <v>1458</v>
      </c>
      <c r="C999" s="287">
        <v>7</v>
      </c>
      <c r="D999" s="288">
        <f t="shared" si="211"/>
        <v>0</v>
      </c>
      <c r="E999" s="287"/>
      <c r="F999" s="287"/>
      <c r="G999" s="287"/>
      <c r="H999" s="287"/>
      <c r="I999" s="302"/>
      <c r="J999" s="303">
        <f t="shared" si="207"/>
        <v>-100</v>
      </c>
    </row>
    <row r="1000" s="106" customFormat="1" ht="20.1" customHeight="1" spans="1:10">
      <c r="A1000" s="279" t="s">
        <v>3027</v>
      </c>
      <c r="B1000" s="41" t="s">
        <v>1460</v>
      </c>
      <c r="C1000" s="287"/>
      <c r="D1000" s="288">
        <f t="shared" si="211"/>
        <v>0</v>
      </c>
      <c r="E1000" s="287"/>
      <c r="F1000" s="287"/>
      <c r="G1000" s="287"/>
      <c r="H1000" s="287"/>
      <c r="I1000" s="302"/>
      <c r="J1000" s="303">
        <f t="shared" si="207"/>
        <v>0</v>
      </c>
    </row>
    <row r="1001" s="106" customFormat="1" ht="20.1" customHeight="1" spans="1:10">
      <c r="A1001" s="279" t="s">
        <v>3028</v>
      </c>
      <c r="B1001" s="41" t="s">
        <v>1462</v>
      </c>
      <c r="C1001" s="287">
        <v>0</v>
      </c>
      <c r="D1001" s="288">
        <f t="shared" si="211"/>
        <v>0</v>
      </c>
      <c r="E1001" s="287"/>
      <c r="F1001" s="287"/>
      <c r="G1001" s="287"/>
      <c r="H1001" s="287"/>
      <c r="I1001" s="302"/>
      <c r="J1001" s="303">
        <f t="shared" si="207"/>
        <v>0</v>
      </c>
    </row>
    <row r="1002" s="107" customFormat="1" ht="20.1" customHeight="1" spans="1:10">
      <c r="A1002" s="279" t="s">
        <v>3029</v>
      </c>
      <c r="B1002" s="41" t="s">
        <v>3030</v>
      </c>
      <c r="C1002" s="287">
        <v>0</v>
      </c>
      <c r="D1002" s="288">
        <f t="shared" si="211"/>
        <v>0</v>
      </c>
      <c r="E1002" s="287"/>
      <c r="F1002" s="287"/>
      <c r="G1002" s="287"/>
      <c r="H1002" s="287"/>
      <c r="I1002" s="302"/>
      <c r="J1002" s="303">
        <f t="shared" si="207"/>
        <v>0</v>
      </c>
    </row>
    <row r="1003" s="106" customFormat="1" ht="20.1" customHeight="1" spans="1:10">
      <c r="A1003" s="279" t="s">
        <v>3031</v>
      </c>
      <c r="B1003" s="41" t="s">
        <v>3032</v>
      </c>
      <c r="C1003" s="287">
        <v>0</v>
      </c>
      <c r="D1003" s="288">
        <f t="shared" si="211"/>
        <v>0</v>
      </c>
      <c r="E1003" s="287"/>
      <c r="F1003" s="287"/>
      <c r="G1003" s="287"/>
      <c r="H1003" s="287"/>
      <c r="I1003" s="302"/>
      <c r="J1003" s="303">
        <f t="shared" si="207"/>
        <v>0</v>
      </c>
    </row>
    <row r="1004" s="106" customFormat="1" ht="20.1" customHeight="1" spans="1:10">
      <c r="A1004" s="279" t="s">
        <v>3033</v>
      </c>
      <c r="B1004" s="41" t="s">
        <v>3034</v>
      </c>
      <c r="C1004" s="287">
        <v>0</v>
      </c>
      <c r="D1004" s="288">
        <f t="shared" si="211"/>
        <v>0</v>
      </c>
      <c r="E1004" s="287"/>
      <c r="F1004" s="287"/>
      <c r="G1004" s="287"/>
      <c r="H1004" s="287"/>
      <c r="I1004" s="302"/>
      <c r="J1004" s="303">
        <f t="shared" si="207"/>
        <v>0</v>
      </c>
    </row>
    <row r="1005" s="106" customFormat="1" ht="20.1" customHeight="1" spans="1:10">
      <c r="A1005" s="279" t="s">
        <v>3035</v>
      </c>
      <c r="B1005" s="41" t="s">
        <v>3036</v>
      </c>
      <c r="C1005" s="287">
        <v>0</v>
      </c>
      <c r="D1005" s="288">
        <f t="shared" si="211"/>
        <v>0</v>
      </c>
      <c r="E1005" s="287"/>
      <c r="F1005" s="287"/>
      <c r="G1005" s="287"/>
      <c r="H1005" s="287"/>
      <c r="I1005" s="302"/>
      <c r="J1005" s="303">
        <f t="shared" si="207"/>
        <v>0</v>
      </c>
    </row>
    <row r="1006" s="106" customFormat="1" ht="20.1" customHeight="1" spans="1:10">
      <c r="A1006" s="279" t="s">
        <v>3037</v>
      </c>
      <c r="B1006" s="41" t="s">
        <v>3038</v>
      </c>
      <c r="C1006" s="287">
        <v>0</v>
      </c>
      <c r="D1006" s="288">
        <f t="shared" si="211"/>
        <v>0</v>
      </c>
      <c r="E1006" s="287"/>
      <c r="F1006" s="287"/>
      <c r="G1006" s="287"/>
      <c r="H1006" s="287"/>
      <c r="I1006" s="302"/>
      <c r="J1006" s="303">
        <f t="shared" si="207"/>
        <v>0</v>
      </c>
    </row>
    <row r="1007" s="106" customFormat="1" ht="20.1" customHeight="1" spans="1:10">
      <c r="A1007" s="279" t="s">
        <v>3039</v>
      </c>
      <c r="B1007" s="41" t="s">
        <v>3040</v>
      </c>
      <c r="C1007" s="287">
        <v>0</v>
      </c>
      <c r="D1007" s="288">
        <f t="shared" si="211"/>
        <v>0</v>
      </c>
      <c r="E1007" s="287"/>
      <c r="F1007" s="287"/>
      <c r="G1007" s="287"/>
      <c r="H1007" s="287"/>
      <c r="I1007" s="302"/>
      <c r="J1007" s="303">
        <f t="shared" si="207"/>
        <v>0</v>
      </c>
    </row>
    <row r="1008" s="106" customFormat="1" ht="20.1" customHeight="1" spans="1:10">
      <c r="A1008" s="283" t="s">
        <v>764</v>
      </c>
      <c r="B1008" s="323" t="s">
        <v>3041</v>
      </c>
      <c r="C1008" s="285">
        <v>0</v>
      </c>
      <c r="D1008" s="285">
        <f t="shared" si="211"/>
        <v>0</v>
      </c>
      <c r="E1008" s="285">
        <f t="shared" ref="E1008:H1008" si="217">SUM(E1009:E1017)</f>
        <v>0</v>
      </c>
      <c r="F1008" s="285">
        <f t="shared" si="217"/>
        <v>0</v>
      </c>
      <c r="G1008" s="285">
        <f>VLOOKUP(A1008,[1]√表四、2025年公共财政支出变动表!$A$8:$S$221,18,FALSE)</f>
        <v>0</v>
      </c>
      <c r="H1008" s="285">
        <f t="shared" si="217"/>
        <v>0</v>
      </c>
      <c r="I1008" s="285"/>
      <c r="J1008" s="324">
        <f t="shared" si="207"/>
        <v>0</v>
      </c>
    </row>
    <row r="1009" s="106" customFormat="1" ht="20.1" customHeight="1" spans="1:10">
      <c r="A1009" s="279" t="s">
        <v>3042</v>
      </c>
      <c r="B1009" s="41" t="s">
        <v>1458</v>
      </c>
      <c r="C1009" s="287">
        <v>0</v>
      </c>
      <c r="D1009" s="288">
        <f t="shared" si="211"/>
        <v>0</v>
      </c>
      <c r="E1009" s="287"/>
      <c r="F1009" s="287"/>
      <c r="G1009" s="287"/>
      <c r="H1009" s="287"/>
      <c r="I1009" s="302"/>
      <c r="J1009" s="303">
        <f t="shared" si="207"/>
        <v>0</v>
      </c>
    </row>
    <row r="1010" s="106" customFormat="1" ht="20.1" customHeight="1" spans="1:10">
      <c r="A1010" s="279" t="s">
        <v>3043</v>
      </c>
      <c r="B1010" s="41" t="s">
        <v>1460</v>
      </c>
      <c r="C1010" s="287">
        <v>0</v>
      </c>
      <c r="D1010" s="288">
        <f t="shared" si="211"/>
        <v>0</v>
      </c>
      <c r="E1010" s="287"/>
      <c r="F1010" s="287"/>
      <c r="G1010" s="287"/>
      <c r="H1010" s="287"/>
      <c r="I1010" s="302"/>
      <c r="J1010" s="303">
        <f t="shared" si="207"/>
        <v>0</v>
      </c>
    </row>
    <row r="1011" s="106" customFormat="1" ht="20.1" customHeight="1" spans="1:10">
      <c r="A1011" s="279" t="s">
        <v>3044</v>
      </c>
      <c r="B1011" s="41" t="s">
        <v>1462</v>
      </c>
      <c r="C1011" s="287">
        <v>0</v>
      </c>
      <c r="D1011" s="288">
        <f t="shared" si="211"/>
        <v>0</v>
      </c>
      <c r="E1011" s="287"/>
      <c r="F1011" s="287"/>
      <c r="G1011" s="287"/>
      <c r="H1011" s="287"/>
      <c r="I1011" s="302"/>
      <c r="J1011" s="303">
        <f t="shared" si="207"/>
        <v>0</v>
      </c>
    </row>
    <row r="1012" s="107" customFormat="1" ht="20.1" customHeight="1" spans="1:10">
      <c r="A1012" s="279" t="s">
        <v>3045</v>
      </c>
      <c r="B1012" s="41" t="s">
        <v>3046</v>
      </c>
      <c r="C1012" s="287">
        <v>0</v>
      </c>
      <c r="D1012" s="288">
        <f t="shared" si="211"/>
        <v>0</v>
      </c>
      <c r="E1012" s="287"/>
      <c r="F1012" s="287"/>
      <c r="G1012" s="287"/>
      <c r="H1012" s="287"/>
      <c r="I1012" s="302"/>
      <c r="J1012" s="303">
        <f t="shared" si="207"/>
        <v>0</v>
      </c>
    </row>
    <row r="1013" s="106" customFormat="1" ht="20.1" customHeight="1" spans="1:10">
      <c r="A1013" s="279" t="s">
        <v>3047</v>
      </c>
      <c r="B1013" s="41" t="s">
        <v>3048</v>
      </c>
      <c r="C1013" s="287">
        <v>0</v>
      </c>
      <c r="D1013" s="288">
        <f t="shared" si="211"/>
        <v>0</v>
      </c>
      <c r="E1013" s="287"/>
      <c r="F1013" s="287"/>
      <c r="G1013" s="287"/>
      <c r="H1013" s="287"/>
      <c r="I1013" s="302"/>
      <c r="J1013" s="303">
        <f t="shared" si="207"/>
        <v>0</v>
      </c>
    </row>
    <row r="1014" s="106" customFormat="1" ht="20.1" customHeight="1" spans="1:10">
      <c r="A1014" s="279" t="s">
        <v>3049</v>
      </c>
      <c r="B1014" s="41" t="s">
        <v>3050</v>
      </c>
      <c r="C1014" s="287">
        <v>0</v>
      </c>
      <c r="D1014" s="288">
        <f t="shared" si="211"/>
        <v>0</v>
      </c>
      <c r="E1014" s="287"/>
      <c r="F1014" s="287"/>
      <c r="G1014" s="287"/>
      <c r="H1014" s="287"/>
      <c r="I1014" s="302"/>
      <c r="J1014" s="303">
        <f t="shared" ref="J1014:J1075" si="218">ROUND(IF(C1014=0,IF(D1014=0,0,1),IF(D1014=0,-1,D1014/C1014)),4)*100</f>
        <v>0</v>
      </c>
    </row>
    <row r="1015" s="106" customFormat="1" ht="20.1" customHeight="1" spans="1:10">
      <c r="A1015" s="279" t="s">
        <v>3051</v>
      </c>
      <c r="B1015" s="41" t="s">
        <v>3052</v>
      </c>
      <c r="C1015" s="287">
        <v>0</v>
      </c>
      <c r="D1015" s="288">
        <f t="shared" si="211"/>
        <v>0</v>
      </c>
      <c r="E1015" s="287"/>
      <c r="F1015" s="287"/>
      <c r="G1015" s="287"/>
      <c r="H1015" s="287"/>
      <c r="I1015" s="302"/>
      <c r="J1015" s="303">
        <f t="shared" si="218"/>
        <v>0</v>
      </c>
    </row>
    <row r="1016" s="106" customFormat="1" ht="20.1" customHeight="1" spans="1:10">
      <c r="A1016" s="279" t="s">
        <v>3053</v>
      </c>
      <c r="B1016" s="41" t="s">
        <v>3054</v>
      </c>
      <c r="C1016" s="287">
        <v>0</v>
      </c>
      <c r="D1016" s="288">
        <f t="shared" si="211"/>
        <v>0</v>
      </c>
      <c r="E1016" s="287"/>
      <c r="F1016" s="287"/>
      <c r="G1016" s="287"/>
      <c r="H1016" s="287"/>
      <c r="I1016" s="302"/>
      <c r="J1016" s="303">
        <f t="shared" si="218"/>
        <v>0</v>
      </c>
    </row>
    <row r="1017" s="106" customFormat="1" ht="20.1" customHeight="1" spans="1:10">
      <c r="A1017" s="279" t="s">
        <v>3055</v>
      </c>
      <c r="B1017" s="41" t="s">
        <v>3056</v>
      </c>
      <c r="C1017" s="287">
        <v>0</v>
      </c>
      <c r="D1017" s="288">
        <f t="shared" si="211"/>
        <v>0</v>
      </c>
      <c r="E1017" s="287"/>
      <c r="F1017" s="287"/>
      <c r="G1017" s="287"/>
      <c r="H1017" s="287"/>
      <c r="I1017" s="302"/>
      <c r="J1017" s="303">
        <f t="shared" si="218"/>
        <v>0</v>
      </c>
    </row>
    <row r="1018" s="106" customFormat="1" ht="20.1" customHeight="1" spans="1:10">
      <c r="A1018" s="283" t="s">
        <v>3057</v>
      </c>
      <c r="B1018" s="323" t="s">
        <v>3058</v>
      </c>
      <c r="C1018" s="285">
        <v>0</v>
      </c>
      <c r="D1018" s="285">
        <f t="shared" si="211"/>
        <v>0</v>
      </c>
      <c r="E1018" s="285">
        <f t="shared" ref="E1018:H1018" si="219">SUM(E1019:E1024)</f>
        <v>0</v>
      </c>
      <c r="F1018" s="285">
        <f t="shared" si="219"/>
        <v>0</v>
      </c>
      <c r="G1018" s="285">
        <f t="shared" si="219"/>
        <v>0</v>
      </c>
      <c r="H1018" s="285">
        <f t="shared" si="219"/>
        <v>0</v>
      </c>
      <c r="I1018" s="285"/>
      <c r="J1018" s="324">
        <f t="shared" si="218"/>
        <v>0</v>
      </c>
    </row>
    <row r="1019" s="106" customFormat="1" ht="20.1" customHeight="1" spans="1:10">
      <c r="A1019" s="279" t="s">
        <v>3059</v>
      </c>
      <c r="B1019" s="41" t="s">
        <v>1458</v>
      </c>
      <c r="C1019" s="287">
        <v>0</v>
      </c>
      <c r="D1019" s="288">
        <f t="shared" si="211"/>
        <v>0</v>
      </c>
      <c r="E1019" s="287"/>
      <c r="F1019" s="287"/>
      <c r="G1019" s="287"/>
      <c r="H1019" s="287"/>
      <c r="I1019" s="302"/>
      <c r="J1019" s="303">
        <f t="shared" si="218"/>
        <v>0</v>
      </c>
    </row>
    <row r="1020" s="106" customFormat="1" ht="20.1" customHeight="1" spans="1:10">
      <c r="A1020" s="279" t="s">
        <v>3060</v>
      </c>
      <c r="B1020" s="41" t="s">
        <v>1460</v>
      </c>
      <c r="C1020" s="287"/>
      <c r="D1020" s="288">
        <f t="shared" si="211"/>
        <v>0</v>
      </c>
      <c r="E1020" s="287"/>
      <c r="F1020" s="287"/>
      <c r="G1020" s="287"/>
      <c r="H1020" s="287"/>
      <c r="I1020" s="302"/>
      <c r="J1020" s="303">
        <f t="shared" si="218"/>
        <v>0</v>
      </c>
    </row>
    <row r="1021" s="106" customFormat="1" ht="20.1" customHeight="1" spans="1:10">
      <c r="A1021" s="279" t="s">
        <v>3061</v>
      </c>
      <c r="B1021" s="41" t="s">
        <v>1462</v>
      </c>
      <c r="C1021" s="287">
        <v>0</v>
      </c>
      <c r="D1021" s="288">
        <f t="shared" si="211"/>
        <v>0</v>
      </c>
      <c r="E1021" s="287"/>
      <c r="F1021" s="287"/>
      <c r="G1021" s="287"/>
      <c r="H1021" s="287"/>
      <c r="I1021" s="302"/>
      <c r="J1021" s="303">
        <f t="shared" si="218"/>
        <v>0</v>
      </c>
    </row>
    <row r="1022" s="107" customFormat="1" ht="20.1" customHeight="1" spans="1:10">
      <c r="A1022" s="279" t="s">
        <v>3062</v>
      </c>
      <c r="B1022" s="41" t="s">
        <v>3038</v>
      </c>
      <c r="C1022" s="287">
        <v>0</v>
      </c>
      <c r="D1022" s="288">
        <f t="shared" si="211"/>
        <v>0</v>
      </c>
      <c r="E1022" s="287"/>
      <c r="F1022" s="287"/>
      <c r="G1022" s="287"/>
      <c r="H1022" s="287"/>
      <c r="I1022" s="302"/>
      <c r="J1022" s="303">
        <f t="shared" si="218"/>
        <v>0</v>
      </c>
    </row>
    <row r="1023" s="106" customFormat="1" ht="20.1" customHeight="1" spans="1:10">
      <c r="A1023" s="279" t="s">
        <v>3063</v>
      </c>
      <c r="B1023" s="41" t="s">
        <v>3064</v>
      </c>
      <c r="C1023" s="287">
        <v>0</v>
      </c>
      <c r="D1023" s="288">
        <f t="shared" si="211"/>
        <v>0</v>
      </c>
      <c r="E1023" s="287"/>
      <c r="F1023" s="287"/>
      <c r="G1023" s="287"/>
      <c r="H1023" s="287"/>
      <c r="I1023" s="302"/>
      <c r="J1023" s="303">
        <f t="shared" si="218"/>
        <v>0</v>
      </c>
    </row>
    <row r="1024" s="106" customFormat="1" ht="20.1" customHeight="1" spans="1:10">
      <c r="A1024" s="279" t="s">
        <v>3065</v>
      </c>
      <c r="B1024" s="41" t="s">
        <v>3066</v>
      </c>
      <c r="C1024" s="287">
        <v>0</v>
      </c>
      <c r="D1024" s="288">
        <f t="shared" si="211"/>
        <v>0</v>
      </c>
      <c r="E1024" s="287"/>
      <c r="F1024" s="287"/>
      <c r="G1024" s="287"/>
      <c r="H1024" s="287"/>
      <c r="I1024" s="302"/>
      <c r="J1024" s="303">
        <f t="shared" si="218"/>
        <v>0</v>
      </c>
    </row>
    <row r="1025" s="106" customFormat="1" ht="20.1" customHeight="1" spans="1:10">
      <c r="A1025" s="283" t="s">
        <v>768</v>
      </c>
      <c r="B1025" s="323" t="s">
        <v>3067</v>
      </c>
      <c r="C1025" s="285">
        <f t="shared" ref="C1025:H1025" si="220">SUM(C1026:C1027)</f>
        <v>4</v>
      </c>
      <c r="D1025" s="285">
        <f t="shared" si="211"/>
        <v>437</v>
      </c>
      <c r="E1025" s="285">
        <f t="shared" si="220"/>
        <v>0</v>
      </c>
      <c r="F1025" s="285">
        <f t="shared" si="220"/>
        <v>0</v>
      </c>
      <c r="G1025" s="285">
        <f t="shared" si="220"/>
        <v>437</v>
      </c>
      <c r="H1025" s="285">
        <f t="shared" si="220"/>
        <v>0</v>
      </c>
      <c r="I1025" s="285"/>
      <c r="J1025" s="324">
        <f t="shared" si="218"/>
        <v>10925</v>
      </c>
    </row>
    <row r="1026" s="106" customFormat="1" ht="20.1" customHeight="1" spans="1:10">
      <c r="A1026" s="279" t="s">
        <v>3068</v>
      </c>
      <c r="B1026" s="41" t="s">
        <v>3069</v>
      </c>
      <c r="C1026" s="287">
        <v>4</v>
      </c>
      <c r="D1026" s="288">
        <f t="shared" si="211"/>
        <v>0</v>
      </c>
      <c r="E1026" s="287"/>
      <c r="F1026" s="287"/>
      <c r="G1026" s="287"/>
      <c r="H1026" s="287"/>
      <c r="I1026" s="302"/>
      <c r="J1026" s="303">
        <f t="shared" si="218"/>
        <v>-100</v>
      </c>
    </row>
    <row r="1027" s="106" customFormat="1" ht="20.1" customHeight="1" spans="1:10">
      <c r="A1027" s="279" t="s">
        <v>3070</v>
      </c>
      <c r="B1027" s="41" t="s">
        <v>769</v>
      </c>
      <c r="C1027" s="287"/>
      <c r="D1027" s="288">
        <f t="shared" si="211"/>
        <v>437</v>
      </c>
      <c r="E1027" s="287"/>
      <c r="F1027" s="287"/>
      <c r="G1027" s="287">
        <v>437</v>
      </c>
      <c r="H1027" s="287"/>
      <c r="I1027" s="302"/>
      <c r="J1027" s="303">
        <f t="shared" si="218"/>
        <v>100</v>
      </c>
    </row>
    <row r="1028" s="106" customFormat="1" ht="20.1" customHeight="1" spans="1:10">
      <c r="A1028" s="280" t="s">
        <v>770</v>
      </c>
      <c r="B1028" s="281" t="s">
        <v>771</v>
      </c>
      <c r="C1028" s="282">
        <f t="shared" ref="C1028:I1028" si="221">C1029+C1039+C1055+C1060+C1071+C1078+C1086</f>
        <v>889</v>
      </c>
      <c r="D1028" s="282">
        <f t="shared" si="211"/>
        <v>58</v>
      </c>
      <c r="E1028" s="282">
        <f t="shared" si="221"/>
        <v>0</v>
      </c>
      <c r="F1028" s="282">
        <f t="shared" si="221"/>
        <v>0</v>
      </c>
      <c r="G1028" s="282">
        <f t="shared" si="221"/>
        <v>58</v>
      </c>
      <c r="H1028" s="282">
        <f t="shared" si="221"/>
        <v>0</v>
      </c>
      <c r="I1028" s="282">
        <f t="shared" si="221"/>
        <v>0</v>
      </c>
      <c r="J1028" s="296">
        <f t="shared" si="218"/>
        <v>6.52</v>
      </c>
    </row>
    <row r="1029" s="107" customFormat="1" ht="20.1" customHeight="1" spans="1:10">
      <c r="A1029" s="283" t="s">
        <v>772</v>
      </c>
      <c r="B1029" s="323" t="s">
        <v>3071</v>
      </c>
      <c r="C1029" s="285">
        <f t="shared" ref="C1029:I1029" si="222">SUM(C1030:C1038)</f>
        <v>33</v>
      </c>
      <c r="D1029" s="285">
        <f t="shared" si="211"/>
        <v>0</v>
      </c>
      <c r="E1029" s="285">
        <f t="shared" si="222"/>
        <v>0</v>
      </c>
      <c r="F1029" s="285">
        <f t="shared" si="222"/>
        <v>0</v>
      </c>
      <c r="G1029" s="285">
        <f t="shared" si="222"/>
        <v>0</v>
      </c>
      <c r="H1029" s="285">
        <f t="shared" si="222"/>
        <v>0</v>
      </c>
      <c r="I1029" s="285">
        <f t="shared" si="222"/>
        <v>0</v>
      </c>
      <c r="J1029" s="324">
        <f t="shared" si="218"/>
        <v>-100</v>
      </c>
    </row>
    <row r="1030" s="106" customFormat="1" ht="20.1" customHeight="1" spans="1:10">
      <c r="A1030" s="279" t="s">
        <v>3072</v>
      </c>
      <c r="B1030" s="41" t="s">
        <v>1458</v>
      </c>
      <c r="C1030" s="287">
        <v>0</v>
      </c>
      <c r="D1030" s="288">
        <f t="shared" ref="D1030:D1093" si="223">SUM(E1030:I1030)</f>
        <v>0</v>
      </c>
      <c r="E1030" s="287"/>
      <c r="F1030" s="287"/>
      <c r="G1030" s="287"/>
      <c r="H1030" s="287"/>
      <c r="I1030" s="302"/>
      <c r="J1030" s="303">
        <f t="shared" si="218"/>
        <v>0</v>
      </c>
    </row>
    <row r="1031" s="106" customFormat="1" ht="20.1" customHeight="1" spans="1:10">
      <c r="A1031" s="279" t="s">
        <v>3073</v>
      </c>
      <c r="B1031" s="41" t="s">
        <v>1460</v>
      </c>
      <c r="C1031" s="287">
        <v>0</v>
      </c>
      <c r="D1031" s="288">
        <f t="shared" si="223"/>
        <v>0</v>
      </c>
      <c r="E1031" s="287"/>
      <c r="F1031" s="287"/>
      <c r="G1031" s="287"/>
      <c r="H1031" s="287"/>
      <c r="I1031" s="302"/>
      <c r="J1031" s="303">
        <f t="shared" si="218"/>
        <v>0</v>
      </c>
    </row>
    <row r="1032" s="107" customFormat="1" ht="20.1" customHeight="1" spans="1:10">
      <c r="A1032" s="279" t="s">
        <v>3074</v>
      </c>
      <c r="B1032" s="41" t="s">
        <v>1462</v>
      </c>
      <c r="C1032" s="287">
        <v>0</v>
      </c>
      <c r="D1032" s="288">
        <f t="shared" si="223"/>
        <v>0</v>
      </c>
      <c r="E1032" s="287"/>
      <c r="F1032" s="287"/>
      <c r="G1032" s="287"/>
      <c r="H1032" s="287"/>
      <c r="I1032" s="302"/>
      <c r="J1032" s="303">
        <f t="shared" si="218"/>
        <v>0</v>
      </c>
    </row>
    <row r="1033" s="107" customFormat="1" ht="20.1" customHeight="1" spans="1:10">
      <c r="A1033" s="279" t="s">
        <v>3075</v>
      </c>
      <c r="B1033" s="41" t="s">
        <v>3076</v>
      </c>
      <c r="C1033" s="287">
        <v>0</v>
      </c>
      <c r="D1033" s="288">
        <f t="shared" si="223"/>
        <v>0</v>
      </c>
      <c r="E1033" s="287"/>
      <c r="F1033" s="287"/>
      <c r="G1033" s="287"/>
      <c r="H1033" s="287"/>
      <c r="I1033" s="302"/>
      <c r="J1033" s="303">
        <f t="shared" si="218"/>
        <v>0</v>
      </c>
    </row>
    <row r="1034" s="106" customFormat="1" ht="20.1" customHeight="1" spans="1:10">
      <c r="A1034" s="279" t="s">
        <v>3077</v>
      </c>
      <c r="B1034" s="41" t="s">
        <v>3078</v>
      </c>
      <c r="C1034" s="287">
        <v>0</v>
      </c>
      <c r="D1034" s="288">
        <f t="shared" si="223"/>
        <v>0</v>
      </c>
      <c r="E1034" s="287"/>
      <c r="F1034" s="287"/>
      <c r="G1034" s="287"/>
      <c r="H1034" s="287"/>
      <c r="I1034" s="302"/>
      <c r="J1034" s="303">
        <f t="shared" si="218"/>
        <v>0</v>
      </c>
    </row>
    <row r="1035" s="106" customFormat="1" ht="20.1" customHeight="1" spans="1:10">
      <c r="A1035" s="279" t="s">
        <v>3079</v>
      </c>
      <c r="B1035" s="41" t="s">
        <v>3080</v>
      </c>
      <c r="C1035" s="287">
        <v>0</v>
      </c>
      <c r="D1035" s="288">
        <f t="shared" si="223"/>
        <v>0</v>
      </c>
      <c r="E1035" s="287"/>
      <c r="F1035" s="287"/>
      <c r="G1035" s="287"/>
      <c r="H1035" s="287"/>
      <c r="I1035" s="302"/>
      <c r="J1035" s="303">
        <f t="shared" si="218"/>
        <v>0</v>
      </c>
    </row>
    <row r="1036" s="106" customFormat="1" ht="20.1" customHeight="1" spans="1:10">
      <c r="A1036" s="279" t="s">
        <v>3081</v>
      </c>
      <c r="B1036" s="41" t="s">
        <v>3082</v>
      </c>
      <c r="C1036" s="287">
        <v>0</v>
      </c>
      <c r="D1036" s="288">
        <f t="shared" si="223"/>
        <v>0</v>
      </c>
      <c r="E1036" s="287"/>
      <c r="F1036" s="287"/>
      <c r="G1036" s="287"/>
      <c r="H1036" s="287"/>
      <c r="I1036" s="302"/>
      <c r="J1036" s="303">
        <f t="shared" si="218"/>
        <v>0</v>
      </c>
    </row>
    <row r="1037" s="106" customFormat="1" ht="20.1" customHeight="1" spans="1:10">
      <c r="A1037" s="279" t="s">
        <v>3083</v>
      </c>
      <c r="B1037" s="41" t="s">
        <v>3084</v>
      </c>
      <c r="C1037" s="287">
        <v>0</v>
      </c>
      <c r="D1037" s="288">
        <f t="shared" si="223"/>
        <v>0</v>
      </c>
      <c r="E1037" s="287"/>
      <c r="F1037" s="287"/>
      <c r="G1037" s="287"/>
      <c r="H1037" s="287"/>
      <c r="I1037" s="302"/>
      <c r="J1037" s="303">
        <f t="shared" si="218"/>
        <v>0</v>
      </c>
    </row>
    <row r="1038" s="106" customFormat="1" ht="20.1" customHeight="1" spans="1:10">
      <c r="A1038" s="279" t="s">
        <v>3085</v>
      </c>
      <c r="B1038" s="41" t="s">
        <v>3086</v>
      </c>
      <c r="C1038" s="287">
        <v>33</v>
      </c>
      <c r="D1038" s="288">
        <f t="shared" si="223"/>
        <v>0</v>
      </c>
      <c r="E1038" s="287"/>
      <c r="F1038" s="287"/>
      <c r="G1038" s="287"/>
      <c r="H1038" s="287"/>
      <c r="I1038" s="302"/>
      <c r="J1038" s="303">
        <f t="shared" si="218"/>
        <v>-100</v>
      </c>
    </row>
    <row r="1039" s="106" customFormat="1" ht="20.1" customHeight="1" spans="1:10">
      <c r="A1039" s="283" t="s">
        <v>774</v>
      </c>
      <c r="B1039" s="323" t="s">
        <v>3087</v>
      </c>
      <c r="C1039" s="285">
        <f t="shared" ref="C1039:I1039" si="224">SUM(C1040:C1054)</f>
        <v>256</v>
      </c>
      <c r="D1039" s="285">
        <f t="shared" si="223"/>
        <v>56</v>
      </c>
      <c r="E1039" s="285">
        <f t="shared" si="224"/>
        <v>0</v>
      </c>
      <c r="F1039" s="285">
        <f t="shared" si="224"/>
        <v>0</v>
      </c>
      <c r="G1039" s="285">
        <f t="shared" si="224"/>
        <v>56</v>
      </c>
      <c r="H1039" s="285">
        <f t="shared" si="224"/>
        <v>0</v>
      </c>
      <c r="I1039" s="285">
        <f t="shared" si="224"/>
        <v>0</v>
      </c>
      <c r="J1039" s="324">
        <f t="shared" si="218"/>
        <v>21.88</v>
      </c>
    </row>
    <row r="1040" s="106" customFormat="1" ht="20.1" customHeight="1" spans="1:10">
      <c r="A1040" s="279" t="s">
        <v>3088</v>
      </c>
      <c r="B1040" s="41" t="s">
        <v>1458</v>
      </c>
      <c r="C1040" s="287">
        <v>0</v>
      </c>
      <c r="D1040" s="288">
        <f t="shared" si="223"/>
        <v>0</v>
      </c>
      <c r="E1040" s="287"/>
      <c r="F1040" s="287"/>
      <c r="G1040" s="287"/>
      <c r="H1040" s="287"/>
      <c r="I1040" s="302"/>
      <c r="J1040" s="303">
        <f t="shared" si="218"/>
        <v>0</v>
      </c>
    </row>
    <row r="1041" s="106" customFormat="1" ht="20.1" customHeight="1" spans="1:10">
      <c r="A1041" s="279" t="s">
        <v>3089</v>
      </c>
      <c r="B1041" s="41" t="s">
        <v>1460</v>
      </c>
      <c r="C1041" s="287">
        <v>0</v>
      </c>
      <c r="D1041" s="288">
        <f t="shared" si="223"/>
        <v>0</v>
      </c>
      <c r="E1041" s="287"/>
      <c r="F1041" s="287"/>
      <c r="G1041" s="287"/>
      <c r="H1041" s="287"/>
      <c r="I1041" s="302"/>
      <c r="J1041" s="303">
        <f t="shared" si="218"/>
        <v>0</v>
      </c>
    </row>
    <row r="1042" s="106" customFormat="1" ht="20.1" customHeight="1" spans="1:10">
      <c r="A1042" s="279" t="s">
        <v>3090</v>
      </c>
      <c r="B1042" s="41" t="s">
        <v>1462</v>
      </c>
      <c r="C1042" s="287">
        <v>0</v>
      </c>
      <c r="D1042" s="288">
        <f t="shared" si="223"/>
        <v>0</v>
      </c>
      <c r="E1042" s="287"/>
      <c r="F1042" s="287"/>
      <c r="G1042" s="287"/>
      <c r="H1042" s="287"/>
      <c r="I1042" s="302"/>
      <c r="J1042" s="303">
        <f t="shared" si="218"/>
        <v>0</v>
      </c>
    </row>
    <row r="1043" s="107" customFormat="1" ht="20.1" customHeight="1" spans="1:10">
      <c r="A1043" s="279" t="s">
        <v>3091</v>
      </c>
      <c r="B1043" s="41" t="s">
        <v>3092</v>
      </c>
      <c r="C1043" s="287">
        <v>0</v>
      </c>
      <c r="D1043" s="288">
        <f t="shared" si="223"/>
        <v>0</v>
      </c>
      <c r="E1043" s="287"/>
      <c r="F1043" s="287"/>
      <c r="G1043" s="287"/>
      <c r="H1043" s="287"/>
      <c r="I1043" s="302"/>
      <c r="J1043" s="303">
        <f t="shared" si="218"/>
        <v>0</v>
      </c>
    </row>
    <row r="1044" s="106" customFormat="1" ht="20.1" customHeight="1" spans="1:10">
      <c r="A1044" s="279" t="s">
        <v>3093</v>
      </c>
      <c r="B1044" s="41" t="s">
        <v>3094</v>
      </c>
      <c r="C1044" s="287">
        <v>0</v>
      </c>
      <c r="D1044" s="288">
        <f t="shared" si="223"/>
        <v>0</v>
      </c>
      <c r="E1044" s="287"/>
      <c r="F1044" s="287"/>
      <c r="G1044" s="287"/>
      <c r="H1044" s="287"/>
      <c r="I1044" s="302"/>
      <c r="J1044" s="303">
        <f t="shared" si="218"/>
        <v>0</v>
      </c>
    </row>
    <row r="1045" s="106" customFormat="1" ht="20.1" customHeight="1" spans="1:10">
      <c r="A1045" s="279" t="s">
        <v>3095</v>
      </c>
      <c r="B1045" s="41" t="s">
        <v>3096</v>
      </c>
      <c r="C1045" s="287">
        <v>0</v>
      </c>
      <c r="D1045" s="288">
        <f t="shared" si="223"/>
        <v>0</v>
      </c>
      <c r="E1045" s="287"/>
      <c r="F1045" s="287"/>
      <c r="G1045" s="287"/>
      <c r="H1045" s="287"/>
      <c r="I1045" s="302"/>
      <c r="J1045" s="303">
        <f t="shared" si="218"/>
        <v>0</v>
      </c>
    </row>
    <row r="1046" s="106" customFormat="1" ht="20.1" customHeight="1" spans="1:10">
      <c r="A1046" s="279" t="s">
        <v>3097</v>
      </c>
      <c r="B1046" s="41" t="s">
        <v>3098</v>
      </c>
      <c r="C1046" s="287">
        <v>0</v>
      </c>
      <c r="D1046" s="288">
        <f t="shared" si="223"/>
        <v>0</v>
      </c>
      <c r="E1046" s="287"/>
      <c r="F1046" s="287"/>
      <c r="G1046" s="287"/>
      <c r="H1046" s="287"/>
      <c r="I1046" s="302"/>
      <c r="J1046" s="303">
        <f t="shared" si="218"/>
        <v>0</v>
      </c>
    </row>
    <row r="1047" s="106" customFormat="1" ht="20.1" customHeight="1" spans="1:10">
      <c r="A1047" s="279" t="s">
        <v>3099</v>
      </c>
      <c r="B1047" s="41" t="s">
        <v>3100</v>
      </c>
      <c r="C1047" s="287">
        <v>0</v>
      </c>
      <c r="D1047" s="288">
        <f t="shared" si="223"/>
        <v>0</v>
      </c>
      <c r="E1047" s="287"/>
      <c r="F1047" s="287"/>
      <c r="G1047" s="287"/>
      <c r="H1047" s="287"/>
      <c r="I1047" s="302"/>
      <c r="J1047" s="303">
        <f t="shared" si="218"/>
        <v>0</v>
      </c>
    </row>
    <row r="1048" s="106" customFormat="1" ht="20.1" customHeight="1" spans="1:10">
      <c r="A1048" s="279" t="s">
        <v>3101</v>
      </c>
      <c r="B1048" s="41" t="s">
        <v>3102</v>
      </c>
      <c r="C1048" s="287">
        <v>0</v>
      </c>
      <c r="D1048" s="288">
        <f t="shared" si="223"/>
        <v>0</v>
      </c>
      <c r="E1048" s="287"/>
      <c r="F1048" s="287"/>
      <c r="G1048" s="287"/>
      <c r="H1048" s="287"/>
      <c r="I1048" s="302"/>
      <c r="J1048" s="303">
        <f t="shared" si="218"/>
        <v>0</v>
      </c>
    </row>
    <row r="1049" s="106" customFormat="1" ht="20.1" customHeight="1" spans="1:10">
      <c r="A1049" s="279" t="s">
        <v>3103</v>
      </c>
      <c r="B1049" s="41" t="s">
        <v>3104</v>
      </c>
      <c r="C1049" s="287">
        <v>0</v>
      </c>
      <c r="D1049" s="288">
        <f t="shared" si="223"/>
        <v>0</v>
      </c>
      <c r="E1049" s="287"/>
      <c r="F1049" s="287"/>
      <c r="G1049" s="287"/>
      <c r="H1049" s="287"/>
      <c r="I1049" s="302"/>
      <c r="J1049" s="303">
        <f t="shared" si="218"/>
        <v>0</v>
      </c>
    </row>
    <row r="1050" s="106" customFormat="1" ht="20.1" customHeight="1" spans="1:10">
      <c r="A1050" s="279" t="s">
        <v>3105</v>
      </c>
      <c r="B1050" s="41" t="s">
        <v>3106</v>
      </c>
      <c r="C1050" s="287">
        <v>0</v>
      </c>
      <c r="D1050" s="288">
        <f t="shared" si="223"/>
        <v>0</v>
      </c>
      <c r="E1050" s="287"/>
      <c r="F1050" s="287"/>
      <c r="G1050" s="287"/>
      <c r="H1050" s="287"/>
      <c r="I1050" s="302"/>
      <c r="J1050" s="303">
        <f t="shared" si="218"/>
        <v>0</v>
      </c>
    </row>
    <row r="1051" s="106" customFormat="1" ht="20.1" customHeight="1" spans="1:10">
      <c r="A1051" s="279" t="s">
        <v>3107</v>
      </c>
      <c r="B1051" s="41" t="s">
        <v>3108</v>
      </c>
      <c r="C1051" s="287">
        <v>0</v>
      </c>
      <c r="D1051" s="288">
        <f t="shared" si="223"/>
        <v>0</v>
      </c>
      <c r="E1051" s="287"/>
      <c r="F1051" s="287"/>
      <c r="G1051" s="287"/>
      <c r="H1051" s="287"/>
      <c r="I1051" s="302"/>
      <c r="J1051" s="303">
        <f t="shared" si="218"/>
        <v>0</v>
      </c>
    </row>
    <row r="1052" s="106" customFormat="1" ht="20.1" customHeight="1" spans="1:10">
      <c r="A1052" s="279" t="s">
        <v>3109</v>
      </c>
      <c r="B1052" s="41" t="s">
        <v>3110</v>
      </c>
      <c r="C1052" s="287">
        <v>0</v>
      </c>
      <c r="D1052" s="288">
        <f t="shared" si="223"/>
        <v>0</v>
      </c>
      <c r="E1052" s="287"/>
      <c r="F1052" s="287"/>
      <c r="G1052" s="287"/>
      <c r="H1052" s="287"/>
      <c r="I1052" s="302"/>
      <c r="J1052" s="303">
        <f t="shared" si="218"/>
        <v>0</v>
      </c>
    </row>
    <row r="1053" s="106" customFormat="1" ht="20.1" customHeight="1" spans="1:10">
      <c r="A1053" s="279" t="s">
        <v>3111</v>
      </c>
      <c r="B1053" s="41" t="s">
        <v>3112</v>
      </c>
      <c r="C1053" s="287">
        <v>0</v>
      </c>
      <c r="D1053" s="288">
        <f t="shared" si="223"/>
        <v>0</v>
      </c>
      <c r="E1053" s="287"/>
      <c r="F1053" s="287"/>
      <c r="G1053" s="287"/>
      <c r="H1053" s="287"/>
      <c r="I1053" s="302"/>
      <c r="J1053" s="303">
        <f t="shared" si="218"/>
        <v>0</v>
      </c>
    </row>
    <row r="1054" s="106" customFormat="1" ht="20.1" customHeight="1" spans="1:10">
      <c r="A1054" s="279" t="s">
        <v>3113</v>
      </c>
      <c r="B1054" s="41" t="s">
        <v>3114</v>
      </c>
      <c r="C1054" s="287">
        <v>256</v>
      </c>
      <c r="D1054" s="288">
        <f t="shared" si="223"/>
        <v>56</v>
      </c>
      <c r="E1054" s="287"/>
      <c r="F1054" s="287"/>
      <c r="G1054" s="287">
        <v>56</v>
      </c>
      <c r="H1054" s="287"/>
      <c r="I1054" s="302"/>
      <c r="J1054" s="303">
        <f t="shared" si="218"/>
        <v>21.88</v>
      </c>
    </row>
    <row r="1055" s="106" customFormat="1" ht="20.1" customHeight="1" spans="1:10">
      <c r="A1055" s="283" t="s">
        <v>776</v>
      </c>
      <c r="B1055" s="323" t="s">
        <v>3115</v>
      </c>
      <c r="C1055" s="285">
        <f t="shared" ref="C1055:I1055" si="225">SUM(C1056:C1059)</f>
        <v>0</v>
      </c>
      <c r="D1055" s="285">
        <f t="shared" si="223"/>
        <v>0</v>
      </c>
      <c r="E1055" s="285">
        <f t="shared" si="225"/>
        <v>0</v>
      </c>
      <c r="F1055" s="285">
        <f t="shared" si="225"/>
        <v>0</v>
      </c>
      <c r="G1055" s="285">
        <f t="shared" si="225"/>
        <v>0</v>
      </c>
      <c r="H1055" s="285">
        <f t="shared" si="225"/>
        <v>0</v>
      </c>
      <c r="I1055" s="285">
        <f t="shared" si="225"/>
        <v>0</v>
      </c>
      <c r="J1055" s="324">
        <f t="shared" si="218"/>
        <v>0</v>
      </c>
    </row>
    <row r="1056" s="106" customFormat="1" ht="20.1" customHeight="1" spans="1:10">
      <c r="A1056" s="279" t="s">
        <v>3116</v>
      </c>
      <c r="B1056" s="41" t="s">
        <v>1458</v>
      </c>
      <c r="C1056" s="287">
        <v>0</v>
      </c>
      <c r="D1056" s="288">
        <f t="shared" si="223"/>
        <v>0</v>
      </c>
      <c r="E1056" s="287"/>
      <c r="F1056" s="287"/>
      <c r="G1056" s="287"/>
      <c r="H1056" s="287"/>
      <c r="I1056" s="302"/>
      <c r="J1056" s="303">
        <f t="shared" si="218"/>
        <v>0</v>
      </c>
    </row>
    <row r="1057" s="106" customFormat="1" ht="20.1" customHeight="1" spans="1:10">
      <c r="A1057" s="279" t="s">
        <v>3117</v>
      </c>
      <c r="B1057" s="41" t="s">
        <v>1460</v>
      </c>
      <c r="C1057" s="287">
        <v>0</v>
      </c>
      <c r="D1057" s="288">
        <f t="shared" si="223"/>
        <v>0</v>
      </c>
      <c r="E1057" s="287"/>
      <c r="F1057" s="287"/>
      <c r="G1057" s="287"/>
      <c r="H1057" s="287"/>
      <c r="I1057" s="302"/>
      <c r="J1057" s="303">
        <f t="shared" si="218"/>
        <v>0</v>
      </c>
    </row>
    <row r="1058" s="106" customFormat="1" ht="20.1" customHeight="1" spans="1:10">
      <c r="A1058" s="279" t="s">
        <v>3118</v>
      </c>
      <c r="B1058" s="41" t="s">
        <v>1462</v>
      </c>
      <c r="C1058" s="287">
        <v>0</v>
      </c>
      <c r="D1058" s="288">
        <f t="shared" si="223"/>
        <v>0</v>
      </c>
      <c r="E1058" s="287"/>
      <c r="F1058" s="287"/>
      <c r="G1058" s="287"/>
      <c r="H1058" s="287"/>
      <c r="I1058" s="302"/>
      <c r="J1058" s="303">
        <f t="shared" si="218"/>
        <v>0</v>
      </c>
    </row>
    <row r="1059" s="107" customFormat="1" ht="20.1" customHeight="1" spans="1:10">
      <c r="A1059" s="279" t="s">
        <v>3119</v>
      </c>
      <c r="B1059" s="41" t="s">
        <v>3120</v>
      </c>
      <c r="C1059" s="287">
        <v>0</v>
      </c>
      <c r="D1059" s="288">
        <f t="shared" si="223"/>
        <v>0</v>
      </c>
      <c r="E1059" s="287"/>
      <c r="F1059" s="287"/>
      <c r="G1059" s="287"/>
      <c r="H1059" s="287"/>
      <c r="I1059" s="302"/>
      <c r="J1059" s="303">
        <f t="shared" si="218"/>
        <v>0</v>
      </c>
    </row>
    <row r="1060" s="106" customFormat="1" ht="20.1" customHeight="1" spans="1:10">
      <c r="A1060" s="283" t="s">
        <v>778</v>
      </c>
      <c r="B1060" s="323" t="s">
        <v>3121</v>
      </c>
      <c r="C1060" s="285">
        <f t="shared" ref="C1060:I1060" si="226">SUM(C1061:C1070)</f>
        <v>0</v>
      </c>
      <c r="D1060" s="285">
        <f t="shared" si="223"/>
        <v>2</v>
      </c>
      <c r="E1060" s="285">
        <f t="shared" si="226"/>
        <v>0</v>
      </c>
      <c r="F1060" s="285">
        <f t="shared" si="226"/>
        <v>0</v>
      </c>
      <c r="G1060" s="285">
        <f t="shared" si="226"/>
        <v>2</v>
      </c>
      <c r="H1060" s="285">
        <f t="shared" si="226"/>
        <v>0</v>
      </c>
      <c r="I1060" s="285">
        <f t="shared" si="226"/>
        <v>0</v>
      </c>
      <c r="J1060" s="324">
        <f t="shared" si="218"/>
        <v>100</v>
      </c>
    </row>
    <row r="1061" s="106" customFormat="1" ht="20.1" customHeight="1" spans="1:10">
      <c r="A1061" s="279" t="s">
        <v>3122</v>
      </c>
      <c r="B1061" s="41" t="s">
        <v>1458</v>
      </c>
      <c r="C1061" s="287">
        <v>0</v>
      </c>
      <c r="D1061" s="288">
        <f t="shared" si="223"/>
        <v>0</v>
      </c>
      <c r="E1061" s="287"/>
      <c r="F1061" s="287"/>
      <c r="G1061" s="287"/>
      <c r="H1061" s="287"/>
      <c r="I1061" s="302"/>
      <c r="J1061" s="303">
        <f t="shared" si="218"/>
        <v>0</v>
      </c>
    </row>
    <row r="1062" s="106" customFormat="1" ht="20.1" customHeight="1" spans="1:10">
      <c r="A1062" s="279" t="s">
        <v>3123</v>
      </c>
      <c r="B1062" s="41" t="s">
        <v>1460</v>
      </c>
      <c r="C1062" s="287">
        <v>0</v>
      </c>
      <c r="D1062" s="288">
        <f t="shared" si="223"/>
        <v>0</v>
      </c>
      <c r="E1062" s="287"/>
      <c r="F1062" s="287"/>
      <c r="G1062" s="287"/>
      <c r="H1062" s="287"/>
      <c r="I1062" s="302"/>
      <c r="J1062" s="303">
        <f t="shared" si="218"/>
        <v>0</v>
      </c>
    </row>
    <row r="1063" s="106" customFormat="1" ht="20.1" customHeight="1" spans="1:10">
      <c r="A1063" s="279" t="s">
        <v>3124</v>
      </c>
      <c r="B1063" s="41" t="s">
        <v>1462</v>
      </c>
      <c r="C1063" s="287">
        <v>0</v>
      </c>
      <c r="D1063" s="288">
        <f t="shared" si="223"/>
        <v>0</v>
      </c>
      <c r="E1063" s="287"/>
      <c r="F1063" s="287"/>
      <c r="G1063" s="287"/>
      <c r="H1063" s="287"/>
      <c r="I1063" s="302"/>
      <c r="J1063" s="303">
        <f t="shared" si="218"/>
        <v>0</v>
      </c>
    </row>
    <row r="1064" s="107" customFormat="1" ht="20.1" customHeight="1" spans="1:10">
      <c r="A1064" s="279" t="s">
        <v>3125</v>
      </c>
      <c r="B1064" s="41" t="s">
        <v>3126</v>
      </c>
      <c r="C1064" s="287">
        <v>0</v>
      </c>
      <c r="D1064" s="288">
        <f t="shared" si="223"/>
        <v>0</v>
      </c>
      <c r="E1064" s="287"/>
      <c r="F1064" s="287"/>
      <c r="G1064" s="287"/>
      <c r="H1064" s="287"/>
      <c r="I1064" s="302"/>
      <c r="J1064" s="303">
        <f t="shared" si="218"/>
        <v>0</v>
      </c>
    </row>
    <row r="1065" s="106" customFormat="1" ht="20.1" customHeight="1" spans="1:10">
      <c r="A1065" s="279" t="s">
        <v>3127</v>
      </c>
      <c r="B1065" s="41" t="s">
        <v>3128</v>
      </c>
      <c r="C1065" s="287">
        <v>0</v>
      </c>
      <c r="D1065" s="288">
        <f t="shared" si="223"/>
        <v>0</v>
      </c>
      <c r="E1065" s="287"/>
      <c r="F1065" s="287"/>
      <c r="G1065" s="287"/>
      <c r="H1065" s="287"/>
      <c r="I1065" s="302"/>
      <c r="J1065" s="303">
        <f t="shared" si="218"/>
        <v>0</v>
      </c>
    </row>
    <row r="1066" s="106" customFormat="1" ht="20.1" customHeight="1" spans="1:10">
      <c r="A1066" s="279" t="s">
        <v>3129</v>
      </c>
      <c r="B1066" s="41" t="s">
        <v>3130</v>
      </c>
      <c r="C1066" s="287">
        <v>0</v>
      </c>
      <c r="D1066" s="288">
        <f t="shared" si="223"/>
        <v>0</v>
      </c>
      <c r="E1066" s="287"/>
      <c r="F1066" s="287"/>
      <c r="G1066" s="287"/>
      <c r="H1066" s="287"/>
      <c r="I1066" s="302"/>
      <c r="J1066" s="303">
        <f t="shared" si="218"/>
        <v>0</v>
      </c>
    </row>
    <row r="1067" s="106" customFormat="1" ht="20.1" customHeight="1" spans="1:10">
      <c r="A1067" s="279" t="s">
        <v>3131</v>
      </c>
      <c r="B1067" s="41" t="s">
        <v>3132</v>
      </c>
      <c r="C1067" s="287"/>
      <c r="D1067" s="288">
        <f t="shared" si="223"/>
        <v>0</v>
      </c>
      <c r="E1067" s="287"/>
      <c r="F1067" s="287"/>
      <c r="G1067" s="287"/>
      <c r="H1067" s="287"/>
      <c r="I1067" s="302"/>
      <c r="J1067" s="303">
        <f t="shared" si="218"/>
        <v>0</v>
      </c>
    </row>
    <row r="1068" s="106" customFormat="1" ht="20.1" customHeight="1" spans="1:10">
      <c r="A1068" s="279" t="s">
        <v>3133</v>
      </c>
      <c r="B1068" s="41" t="s">
        <v>3134</v>
      </c>
      <c r="C1068" s="287"/>
      <c r="D1068" s="288">
        <f t="shared" si="223"/>
        <v>0</v>
      </c>
      <c r="E1068" s="287"/>
      <c r="F1068" s="287"/>
      <c r="G1068" s="287"/>
      <c r="H1068" s="287"/>
      <c r="I1068" s="302"/>
      <c r="J1068" s="303">
        <f t="shared" si="218"/>
        <v>0</v>
      </c>
    </row>
    <row r="1069" s="106" customFormat="1" ht="20.1" customHeight="1" spans="1:10">
      <c r="A1069" s="279" t="s">
        <v>3135</v>
      </c>
      <c r="B1069" s="41" t="s">
        <v>1476</v>
      </c>
      <c r="C1069" s="287"/>
      <c r="D1069" s="288">
        <f t="shared" si="223"/>
        <v>0</v>
      </c>
      <c r="E1069" s="287"/>
      <c r="F1069" s="287"/>
      <c r="G1069" s="287"/>
      <c r="H1069" s="287"/>
      <c r="I1069" s="302"/>
      <c r="J1069" s="303">
        <f t="shared" si="218"/>
        <v>0</v>
      </c>
    </row>
    <row r="1070" s="106" customFormat="1" ht="20.1" customHeight="1" spans="1:10">
      <c r="A1070" s="279" t="s">
        <v>3136</v>
      </c>
      <c r="B1070" s="41" t="s">
        <v>3137</v>
      </c>
      <c r="C1070" s="287"/>
      <c r="D1070" s="288">
        <f t="shared" si="223"/>
        <v>2</v>
      </c>
      <c r="E1070" s="287"/>
      <c r="F1070" s="287"/>
      <c r="G1070" s="287">
        <v>2</v>
      </c>
      <c r="H1070" s="287"/>
      <c r="I1070" s="302"/>
      <c r="J1070" s="303">
        <f t="shared" si="218"/>
        <v>100</v>
      </c>
    </row>
    <row r="1071" s="106" customFormat="1" ht="20.1" customHeight="1" spans="1:10">
      <c r="A1071" s="283" t="s">
        <v>780</v>
      </c>
      <c r="B1071" s="323" t="s">
        <v>3138</v>
      </c>
      <c r="C1071" s="285">
        <f t="shared" ref="C1071:I1071" si="227">SUM(C1072:C1077)</f>
        <v>0</v>
      </c>
      <c r="D1071" s="285">
        <f t="shared" si="223"/>
        <v>0</v>
      </c>
      <c r="E1071" s="285">
        <f t="shared" si="227"/>
        <v>0</v>
      </c>
      <c r="F1071" s="285">
        <f t="shared" si="227"/>
        <v>0</v>
      </c>
      <c r="G1071" s="285">
        <f t="shared" si="227"/>
        <v>0</v>
      </c>
      <c r="H1071" s="285">
        <f t="shared" si="227"/>
        <v>0</v>
      </c>
      <c r="I1071" s="285">
        <f t="shared" si="227"/>
        <v>0</v>
      </c>
      <c r="J1071" s="324">
        <f t="shared" si="218"/>
        <v>0</v>
      </c>
    </row>
    <row r="1072" s="106" customFormat="1" ht="20.1" customHeight="1" spans="1:10">
      <c r="A1072" s="279" t="s">
        <v>3139</v>
      </c>
      <c r="B1072" s="41" t="s">
        <v>1458</v>
      </c>
      <c r="C1072" s="287">
        <v>0</v>
      </c>
      <c r="D1072" s="288">
        <f t="shared" si="223"/>
        <v>0</v>
      </c>
      <c r="E1072" s="287"/>
      <c r="F1072" s="287"/>
      <c r="G1072" s="287"/>
      <c r="H1072" s="287"/>
      <c r="I1072" s="302"/>
      <c r="J1072" s="303">
        <f t="shared" si="218"/>
        <v>0</v>
      </c>
    </row>
    <row r="1073" s="106" customFormat="1" ht="20.1" customHeight="1" spans="1:10">
      <c r="A1073" s="279" t="s">
        <v>3140</v>
      </c>
      <c r="B1073" s="41" t="s">
        <v>1460</v>
      </c>
      <c r="C1073" s="287">
        <v>0</v>
      </c>
      <c r="D1073" s="288">
        <f t="shared" si="223"/>
        <v>0</v>
      </c>
      <c r="E1073" s="287"/>
      <c r="F1073" s="287"/>
      <c r="G1073" s="287"/>
      <c r="H1073" s="287"/>
      <c r="I1073" s="302"/>
      <c r="J1073" s="303">
        <f t="shared" si="218"/>
        <v>0</v>
      </c>
    </row>
    <row r="1074" s="106" customFormat="1" ht="20.1" customHeight="1" spans="1:10">
      <c r="A1074" s="279" t="s">
        <v>3141</v>
      </c>
      <c r="B1074" s="41" t="s">
        <v>1462</v>
      </c>
      <c r="C1074" s="287">
        <v>0</v>
      </c>
      <c r="D1074" s="288">
        <f t="shared" si="223"/>
        <v>0</v>
      </c>
      <c r="E1074" s="287"/>
      <c r="F1074" s="287"/>
      <c r="G1074" s="287"/>
      <c r="H1074" s="287"/>
      <c r="I1074" s="302"/>
      <c r="J1074" s="303">
        <f t="shared" si="218"/>
        <v>0</v>
      </c>
    </row>
    <row r="1075" s="107" customFormat="1" ht="20.1" customHeight="1" spans="1:10">
      <c r="A1075" s="279" t="s">
        <v>3142</v>
      </c>
      <c r="B1075" s="41" t="s">
        <v>3143</v>
      </c>
      <c r="C1075" s="287">
        <v>0</v>
      </c>
      <c r="D1075" s="288">
        <f t="shared" si="223"/>
        <v>0</v>
      </c>
      <c r="E1075" s="287"/>
      <c r="F1075" s="287"/>
      <c r="G1075" s="287"/>
      <c r="H1075" s="287"/>
      <c r="I1075" s="302"/>
      <c r="J1075" s="303">
        <f t="shared" si="218"/>
        <v>0</v>
      </c>
    </row>
    <row r="1076" s="106" customFormat="1" ht="20.1" customHeight="1" spans="1:10">
      <c r="A1076" s="279" t="s">
        <v>3144</v>
      </c>
      <c r="B1076" s="41" t="s">
        <v>3145</v>
      </c>
      <c r="C1076" s="287"/>
      <c r="D1076" s="288">
        <f t="shared" si="223"/>
        <v>0</v>
      </c>
      <c r="E1076" s="287"/>
      <c r="F1076" s="287"/>
      <c r="G1076" s="287"/>
      <c r="H1076" s="287"/>
      <c r="I1076" s="302"/>
      <c r="J1076" s="303"/>
    </row>
    <row r="1077" s="106" customFormat="1" ht="20.1" customHeight="1" spans="1:10">
      <c r="A1077" s="279" t="s">
        <v>3146</v>
      </c>
      <c r="B1077" s="41" t="s">
        <v>3147</v>
      </c>
      <c r="C1077" s="287"/>
      <c r="D1077" s="288">
        <f t="shared" si="223"/>
        <v>0</v>
      </c>
      <c r="E1077" s="287"/>
      <c r="F1077" s="287"/>
      <c r="G1077" s="287"/>
      <c r="H1077" s="287"/>
      <c r="I1077" s="302"/>
      <c r="J1077" s="303">
        <f t="shared" ref="J1077:J1083" si="228">ROUND(IF(C1077=0,IF(D1077=0,0,1),IF(D1077=0,-1,D1077/C1077)),4)*100</f>
        <v>0</v>
      </c>
    </row>
    <row r="1078" s="106" customFormat="1" ht="20.1" customHeight="1" spans="1:10">
      <c r="A1078" s="283" t="s">
        <v>782</v>
      </c>
      <c r="B1078" s="323" t="s">
        <v>3148</v>
      </c>
      <c r="C1078" s="285">
        <f t="shared" ref="C1078:I1078" si="229">SUM(C1079:C1085)</f>
        <v>0</v>
      </c>
      <c r="D1078" s="285">
        <f t="shared" si="223"/>
        <v>0</v>
      </c>
      <c r="E1078" s="285">
        <f t="shared" si="229"/>
        <v>0</v>
      </c>
      <c r="F1078" s="285">
        <f t="shared" si="229"/>
        <v>0</v>
      </c>
      <c r="G1078" s="285">
        <f t="shared" si="229"/>
        <v>0</v>
      </c>
      <c r="H1078" s="285">
        <f t="shared" si="229"/>
        <v>0</v>
      </c>
      <c r="I1078" s="285">
        <f t="shared" si="229"/>
        <v>0</v>
      </c>
      <c r="J1078" s="324">
        <f t="shared" si="228"/>
        <v>0</v>
      </c>
    </row>
    <row r="1079" s="106" customFormat="1" ht="20.1" customHeight="1" spans="1:10">
      <c r="A1079" s="279" t="s">
        <v>3149</v>
      </c>
      <c r="B1079" s="41" t="s">
        <v>1458</v>
      </c>
      <c r="C1079" s="287"/>
      <c r="D1079" s="288">
        <f t="shared" si="223"/>
        <v>0</v>
      </c>
      <c r="E1079" s="287"/>
      <c r="F1079" s="287"/>
      <c r="G1079" s="287"/>
      <c r="H1079" s="287"/>
      <c r="I1079" s="302"/>
      <c r="J1079" s="303">
        <f t="shared" si="228"/>
        <v>0</v>
      </c>
    </row>
    <row r="1080" s="106" customFormat="1" ht="20.1" customHeight="1" spans="1:10">
      <c r="A1080" s="279" t="s">
        <v>3150</v>
      </c>
      <c r="B1080" s="41" t="s">
        <v>1460</v>
      </c>
      <c r="C1080" s="287">
        <v>0</v>
      </c>
      <c r="D1080" s="288">
        <f t="shared" si="223"/>
        <v>0</v>
      </c>
      <c r="E1080" s="287"/>
      <c r="F1080" s="287"/>
      <c r="G1080" s="287"/>
      <c r="H1080" s="287"/>
      <c r="I1080" s="302"/>
      <c r="J1080" s="303">
        <f t="shared" si="228"/>
        <v>0</v>
      </c>
    </row>
    <row r="1081" s="106" customFormat="1" ht="20.1" customHeight="1" spans="1:10">
      <c r="A1081" s="279" t="s">
        <v>3151</v>
      </c>
      <c r="B1081" s="41" t="s">
        <v>1462</v>
      </c>
      <c r="C1081" s="287">
        <v>0</v>
      </c>
      <c r="D1081" s="288">
        <f t="shared" si="223"/>
        <v>0</v>
      </c>
      <c r="E1081" s="287"/>
      <c r="F1081" s="287"/>
      <c r="G1081" s="287"/>
      <c r="H1081" s="287"/>
      <c r="I1081" s="302"/>
      <c r="J1081" s="303">
        <f t="shared" si="228"/>
        <v>0</v>
      </c>
    </row>
    <row r="1082" s="107" customFormat="1" ht="20.1" customHeight="1" spans="1:10">
      <c r="A1082" s="279" t="s">
        <v>3152</v>
      </c>
      <c r="B1082" s="41" t="s">
        <v>3153</v>
      </c>
      <c r="C1082" s="287">
        <v>0</v>
      </c>
      <c r="D1082" s="288">
        <f t="shared" si="223"/>
        <v>0</v>
      </c>
      <c r="E1082" s="287"/>
      <c r="F1082" s="287"/>
      <c r="G1082" s="287"/>
      <c r="H1082" s="287"/>
      <c r="I1082" s="302"/>
      <c r="J1082" s="303">
        <f t="shared" si="228"/>
        <v>0</v>
      </c>
    </row>
    <row r="1083" s="106" customFormat="1" ht="20.1" customHeight="1" spans="1:10">
      <c r="A1083" s="279" t="s">
        <v>3154</v>
      </c>
      <c r="B1083" s="41" t="s">
        <v>3155</v>
      </c>
      <c r="C1083" s="287">
        <v>0</v>
      </c>
      <c r="D1083" s="288">
        <f t="shared" si="223"/>
        <v>0</v>
      </c>
      <c r="E1083" s="287"/>
      <c r="F1083" s="287"/>
      <c r="G1083" s="287"/>
      <c r="H1083" s="287"/>
      <c r="I1083" s="302"/>
      <c r="J1083" s="303">
        <f t="shared" si="228"/>
        <v>0</v>
      </c>
    </row>
    <row r="1084" s="106" customFormat="1" ht="20.1" customHeight="1" spans="1:10">
      <c r="A1084" s="279" t="s">
        <v>3156</v>
      </c>
      <c r="B1084" s="41" t="s">
        <v>3157</v>
      </c>
      <c r="C1084" s="287"/>
      <c r="D1084" s="288">
        <f t="shared" si="223"/>
        <v>0</v>
      </c>
      <c r="E1084" s="287"/>
      <c r="F1084" s="287"/>
      <c r="G1084" s="287"/>
      <c r="H1084" s="287"/>
      <c r="I1084" s="302"/>
      <c r="J1084" s="303"/>
    </row>
    <row r="1085" s="106" customFormat="1" ht="20.1" customHeight="1" spans="1:10">
      <c r="A1085" s="279" t="s">
        <v>3158</v>
      </c>
      <c r="B1085" s="41" t="s">
        <v>3159</v>
      </c>
      <c r="C1085" s="287"/>
      <c r="D1085" s="288">
        <f t="shared" si="223"/>
        <v>0</v>
      </c>
      <c r="E1085" s="287"/>
      <c r="F1085" s="287"/>
      <c r="G1085" s="287"/>
      <c r="H1085" s="287"/>
      <c r="I1085" s="302"/>
      <c r="J1085" s="303">
        <f t="shared" ref="J1085:J1119" si="230">ROUND(IF(C1085=0,IF(D1085=0,0,1),IF(D1085=0,-1,D1085/C1085)),4)*100</f>
        <v>0</v>
      </c>
    </row>
    <row r="1086" s="106" customFormat="1" ht="20.1" customHeight="1" spans="1:10">
      <c r="A1086" s="283" t="s">
        <v>784</v>
      </c>
      <c r="B1086" s="323" t="s">
        <v>3160</v>
      </c>
      <c r="C1086" s="285">
        <f t="shared" ref="C1086:I1086" si="231">SUM(C1087:C1091)</f>
        <v>600</v>
      </c>
      <c r="D1086" s="285">
        <f t="shared" si="223"/>
        <v>0</v>
      </c>
      <c r="E1086" s="285">
        <f t="shared" si="231"/>
        <v>0</v>
      </c>
      <c r="F1086" s="285">
        <f t="shared" si="231"/>
        <v>0</v>
      </c>
      <c r="G1086" s="285">
        <f t="shared" si="231"/>
        <v>0</v>
      </c>
      <c r="H1086" s="285">
        <f t="shared" si="231"/>
        <v>0</v>
      </c>
      <c r="I1086" s="285">
        <f t="shared" si="231"/>
        <v>0</v>
      </c>
      <c r="J1086" s="324">
        <f t="shared" si="230"/>
        <v>-100</v>
      </c>
    </row>
    <row r="1087" s="106" customFormat="1" ht="20.1" customHeight="1" spans="1:10">
      <c r="A1087" s="279" t="s">
        <v>3161</v>
      </c>
      <c r="B1087" s="41" t="s">
        <v>3162</v>
      </c>
      <c r="C1087" s="287">
        <v>0</v>
      </c>
      <c r="D1087" s="288">
        <f t="shared" si="223"/>
        <v>0</v>
      </c>
      <c r="E1087" s="287"/>
      <c r="F1087" s="287"/>
      <c r="G1087" s="287"/>
      <c r="H1087" s="287"/>
      <c r="I1087" s="302"/>
      <c r="J1087" s="303">
        <f t="shared" si="230"/>
        <v>0</v>
      </c>
    </row>
    <row r="1088" s="106" customFormat="1" ht="20.1" customHeight="1" spans="1:10">
      <c r="A1088" s="279" t="s">
        <v>3163</v>
      </c>
      <c r="B1088" s="41" t="s">
        <v>3164</v>
      </c>
      <c r="C1088" s="287">
        <v>0</v>
      </c>
      <c r="D1088" s="288">
        <f t="shared" si="223"/>
        <v>0</v>
      </c>
      <c r="E1088" s="287"/>
      <c r="F1088" s="287"/>
      <c r="G1088" s="287"/>
      <c r="H1088" s="287"/>
      <c r="I1088" s="302"/>
      <c r="J1088" s="303">
        <f t="shared" si="230"/>
        <v>0</v>
      </c>
    </row>
    <row r="1089" s="106" customFormat="1" ht="20.1" customHeight="1" spans="1:10">
      <c r="A1089" s="279" t="s">
        <v>3165</v>
      </c>
      <c r="B1089" s="41" t="s">
        <v>3166</v>
      </c>
      <c r="C1089" s="287">
        <v>0</v>
      </c>
      <c r="D1089" s="288">
        <f t="shared" si="223"/>
        <v>0</v>
      </c>
      <c r="E1089" s="287"/>
      <c r="F1089" s="287"/>
      <c r="G1089" s="287"/>
      <c r="H1089" s="287"/>
      <c r="I1089" s="302"/>
      <c r="J1089" s="303">
        <f t="shared" si="230"/>
        <v>0</v>
      </c>
    </row>
    <row r="1090" s="107" customFormat="1" ht="20.1" customHeight="1" spans="1:10">
      <c r="A1090" s="279" t="s">
        <v>3167</v>
      </c>
      <c r="B1090" s="41" t="s">
        <v>3168</v>
      </c>
      <c r="C1090" s="287">
        <v>0</v>
      </c>
      <c r="D1090" s="288">
        <f t="shared" si="223"/>
        <v>0</v>
      </c>
      <c r="E1090" s="287"/>
      <c r="F1090" s="287"/>
      <c r="G1090" s="287"/>
      <c r="H1090" s="287"/>
      <c r="I1090" s="302"/>
      <c r="J1090" s="303">
        <f t="shared" si="230"/>
        <v>0</v>
      </c>
    </row>
    <row r="1091" s="106" customFormat="1" ht="20.1" customHeight="1" spans="1:10">
      <c r="A1091" s="279" t="s">
        <v>3169</v>
      </c>
      <c r="B1091" s="41" t="s">
        <v>785</v>
      </c>
      <c r="C1091" s="287">
        <v>600</v>
      </c>
      <c r="D1091" s="288">
        <f t="shared" si="223"/>
        <v>0</v>
      </c>
      <c r="E1091" s="287"/>
      <c r="F1091" s="287"/>
      <c r="G1091" s="287"/>
      <c r="H1091" s="287"/>
      <c r="I1091" s="302"/>
      <c r="J1091" s="303">
        <f t="shared" si="230"/>
        <v>-100</v>
      </c>
    </row>
    <row r="1092" s="106" customFormat="1" ht="20.1" customHeight="1" spans="1:10">
      <c r="A1092" s="280" t="s">
        <v>786</v>
      </c>
      <c r="B1092" s="281" t="s">
        <v>787</v>
      </c>
      <c r="C1092" s="282">
        <f t="shared" ref="C1092:I1092" si="232">C1093+C1103+C1109</f>
        <v>128</v>
      </c>
      <c r="D1092" s="282">
        <f t="shared" si="223"/>
        <v>243</v>
      </c>
      <c r="E1092" s="282">
        <f t="shared" si="232"/>
        <v>0</v>
      </c>
      <c r="F1092" s="282">
        <f t="shared" si="232"/>
        <v>0</v>
      </c>
      <c r="G1092" s="282">
        <f t="shared" si="232"/>
        <v>145</v>
      </c>
      <c r="H1092" s="282">
        <f t="shared" si="232"/>
        <v>0</v>
      </c>
      <c r="I1092" s="282">
        <f t="shared" si="232"/>
        <v>98</v>
      </c>
      <c r="J1092" s="296">
        <f t="shared" si="230"/>
        <v>189.84</v>
      </c>
    </row>
    <row r="1093" s="106" customFormat="1" ht="20.1" customHeight="1" spans="1:10">
      <c r="A1093" s="283" t="s">
        <v>788</v>
      </c>
      <c r="B1093" s="323" t="s">
        <v>3170</v>
      </c>
      <c r="C1093" s="285">
        <f t="shared" ref="C1093:I1093" si="233">SUM(C1094:C1102)</f>
        <v>128</v>
      </c>
      <c r="D1093" s="285">
        <f t="shared" si="223"/>
        <v>243</v>
      </c>
      <c r="E1093" s="285">
        <f t="shared" si="233"/>
        <v>0</v>
      </c>
      <c r="F1093" s="285">
        <f t="shared" si="233"/>
        <v>0</v>
      </c>
      <c r="G1093" s="285">
        <f t="shared" si="233"/>
        <v>145</v>
      </c>
      <c r="H1093" s="285">
        <f t="shared" si="233"/>
        <v>0</v>
      </c>
      <c r="I1093" s="285">
        <f t="shared" si="233"/>
        <v>98</v>
      </c>
      <c r="J1093" s="324">
        <f t="shared" si="230"/>
        <v>189.84</v>
      </c>
    </row>
    <row r="1094" s="106" customFormat="1" ht="20.1" customHeight="1" spans="1:10">
      <c r="A1094" s="279" t="s">
        <v>3171</v>
      </c>
      <c r="B1094" s="41" t="s">
        <v>1458</v>
      </c>
      <c r="C1094" s="287"/>
      <c r="D1094" s="288">
        <f t="shared" ref="D1094:D1157" si="234">SUM(E1094:I1094)</f>
        <v>0</v>
      </c>
      <c r="E1094" s="287"/>
      <c r="F1094" s="287"/>
      <c r="G1094" s="287"/>
      <c r="H1094" s="287"/>
      <c r="I1094" s="302"/>
      <c r="J1094" s="303">
        <f t="shared" si="230"/>
        <v>0</v>
      </c>
    </row>
    <row r="1095" s="106" customFormat="1" ht="20.1" customHeight="1" spans="1:10">
      <c r="A1095" s="279" t="s">
        <v>3172</v>
      </c>
      <c r="B1095" s="41" t="s">
        <v>1460</v>
      </c>
      <c r="C1095" s="287">
        <v>114</v>
      </c>
      <c r="D1095" s="288">
        <f t="shared" si="234"/>
        <v>98</v>
      </c>
      <c r="E1095" s="287"/>
      <c r="F1095" s="287"/>
      <c r="G1095" s="287"/>
      <c r="H1095" s="287"/>
      <c r="I1095" s="302">
        <v>98</v>
      </c>
      <c r="J1095" s="303">
        <f t="shared" si="230"/>
        <v>85.96</v>
      </c>
    </row>
    <row r="1096" s="107" customFormat="1" ht="20.1" customHeight="1" spans="1:10">
      <c r="A1096" s="279" t="s">
        <v>3173</v>
      </c>
      <c r="B1096" s="41" t="s">
        <v>1462</v>
      </c>
      <c r="C1096" s="287"/>
      <c r="D1096" s="288">
        <f t="shared" si="234"/>
        <v>0</v>
      </c>
      <c r="E1096" s="287"/>
      <c r="F1096" s="287"/>
      <c r="G1096" s="287"/>
      <c r="H1096" s="287"/>
      <c r="I1096" s="302"/>
      <c r="J1096" s="303">
        <f t="shared" si="230"/>
        <v>0</v>
      </c>
    </row>
    <row r="1097" s="107" customFormat="1" ht="20.1" customHeight="1" spans="1:10">
      <c r="A1097" s="279" t="s">
        <v>3174</v>
      </c>
      <c r="B1097" s="41" t="s">
        <v>3175</v>
      </c>
      <c r="C1097" s="287"/>
      <c r="D1097" s="288">
        <f t="shared" si="234"/>
        <v>0</v>
      </c>
      <c r="E1097" s="287"/>
      <c r="F1097" s="287"/>
      <c r="G1097" s="287"/>
      <c r="H1097" s="287"/>
      <c r="I1097" s="302"/>
      <c r="J1097" s="303">
        <f t="shared" si="230"/>
        <v>0</v>
      </c>
    </row>
    <row r="1098" s="106" customFormat="1" ht="20.1" customHeight="1" spans="1:10">
      <c r="A1098" s="279" t="s">
        <v>3176</v>
      </c>
      <c r="B1098" s="41" t="s">
        <v>3177</v>
      </c>
      <c r="C1098" s="287"/>
      <c r="D1098" s="288">
        <f t="shared" si="234"/>
        <v>0</v>
      </c>
      <c r="E1098" s="287"/>
      <c r="F1098" s="287"/>
      <c r="G1098" s="287"/>
      <c r="H1098" s="287"/>
      <c r="I1098" s="302"/>
      <c r="J1098" s="303">
        <f t="shared" si="230"/>
        <v>0</v>
      </c>
    </row>
    <row r="1099" s="106" customFormat="1" ht="20.1" customHeight="1" spans="1:10">
      <c r="A1099" s="279" t="s">
        <v>3178</v>
      </c>
      <c r="B1099" s="41" t="s">
        <v>3179</v>
      </c>
      <c r="C1099" s="287"/>
      <c r="D1099" s="288">
        <f t="shared" si="234"/>
        <v>0</v>
      </c>
      <c r="E1099" s="287"/>
      <c r="F1099" s="287"/>
      <c r="G1099" s="287"/>
      <c r="H1099" s="287"/>
      <c r="I1099" s="302"/>
      <c r="J1099" s="303">
        <f t="shared" si="230"/>
        <v>0</v>
      </c>
    </row>
    <row r="1100" s="106" customFormat="1" ht="20.1" customHeight="1" spans="1:10">
      <c r="A1100" s="279" t="s">
        <v>3180</v>
      </c>
      <c r="B1100" s="41" t="s">
        <v>3181</v>
      </c>
      <c r="C1100" s="287">
        <v>11</v>
      </c>
      <c r="D1100" s="288">
        <f t="shared" si="234"/>
        <v>0</v>
      </c>
      <c r="E1100" s="287"/>
      <c r="F1100" s="287"/>
      <c r="G1100" s="287"/>
      <c r="H1100" s="287"/>
      <c r="I1100" s="302"/>
      <c r="J1100" s="303">
        <f t="shared" si="230"/>
        <v>-100</v>
      </c>
    </row>
    <row r="1101" s="106" customFormat="1" ht="20.1" customHeight="1" spans="1:10">
      <c r="A1101" s="279" t="s">
        <v>3182</v>
      </c>
      <c r="B1101" s="41" t="s">
        <v>1476</v>
      </c>
      <c r="C1101" s="287"/>
      <c r="D1101" s="288">
        <f t="shared" si="234"/>
        <v>0</v>
      </c>
      <c r="E1101" s="287"/>
      <c r="F1101" s="287"/>
      <c r="G1101" s="287"/>
      <c r="H1101" s="287"/>
      <c r="I1101" s="302"/>
      <c r="J1101" s="303">
        <f t="shared" si="230"/>
        <v>0</v>
      </c>
    </row>
    <row r="1102" s="106" customFormat="1" ht="20.1" customHeight="1" spans="1:10">
      <c r="A1102" s="279" t="s">
        <v>3183</v>
      </c>
      <c r="B1102" s="41" t="s">
        <v>3184</v>
      </c>
      <c r="C1102" s="287">
        <v>3</v>
      </c>
      <c r="D1102" s="288">
        <f t="shared" si="234"/>
        <v>145</v>
      </c>
      <c r="E1102" s="287"/>
      <c r="F1102" s="287"/>
      <c r="G1102" s="287">
        <v>145</v>
      </c>
      <c r="H1102" s="287"/>
      <c r="I1102" s="302"/>
      <c r="J1102" s="303">
        <f t="shared" si="230"/>
        <v>4833.33</v>
      </c>
    </row>
    <row r="1103" s="106" customFormat="1" ht="20.1" customHeight="1" spans="1:10">
      <c r="A1103" s="283" t="s">
        <v>790</v>
      </c>
      <c r="B1103" s="323" t="s">
        <v>3185</v>
      </c>
      <c r="C1103" s="285">
        <v>0</v>
      </c>
      <c r="D1103" s="285">
        <f t="shared" si="234"/>
        <v>0</v>
      </c>
      <c r="E1103" s="285">
        <f t="shared" ref="E1103:H1103" si="235">SUM(E1104:E1108)</f>
        <v>0</v>
      </c>
      <c r="F1103" s="285">
        <f t="shared" si="235"/>
        <v>0</v>
      </c>
      <c r="G1103" s="285">
        <f>VLOOKUP(A1103,[1]√表四、2025年公共财政支出变动表!$A$8:$S$221,18,FALSE)</f>
        <v>0</v>
      </c>
      <c r="H1103" s="285">
        <f t="shared" si="235"/>
        <v>0</v>
      </c>
      <c r="I1103" s="285"/>
      <c r="J1103" s="324">
        <f t="shared" si="230"/>
        <v>0</v>
      </c>
    </row>
    <row r="1104" s="106" customFormat="1" ht="20.1" customHeight="1" spans="1:10">
      <c r="A1104" s="279" t="s">
        <v>3186</v>
      </c>
      <c r="B1104" s="41" t="s">
        <v>1458</v>
      </c>
      <c r="C1104" s="287">
        <v>0</v>
      </c>
      <c r="D1104" s="288">
        <f t="shared" si="234"/>
        <v>0</v>
      </c>
      <c r="E1104" s="287"/>
      <c r="F1104" s="287"/>
      <c r="G1104" s="287"/>
      <c r="H1104" s="287"/>
      <c r="I1104" s="302"/>
      <c r="J1104" s="303">
        <f t="shared" si="230"/>
        <v>0</v>
      </c>
    </row>
    <row r="1105" s="106" customFormat="1" ht="20.1" customHeight="1" spans="1:10">
      <c r="A1105" s="279" t="s">
        <v>3187</v>
      </c>
      <c r="B1105" s="41" t="s">
        <v>1460</v>
      </c>
      <c r="C1105" s="287">
        <v>0</v>
      </c>
      <c r="D1105" s="288">
        <f t="shared" si="234"/>
        <v>0</v>
      </c>
      <c r="E1105" s="287"/>
      <c r="F1105" s="287"/>
      <c r="G1105" s="287"/>
      <c r="H1105" s="287"/>
      <c r="I1105" s="302"/>
      <c r="J1105" s="303">
        <f t="shared" si="230"/>
        <v>0</v>
      </c>
    </row>
    <row r="1106" s="106" customFormat="1" ht="20.1" customHeight="1" spans="1:10">
      <c r="A1106" s="279" t="s">
        <v>3188</v>
      </c>
      <c r="B1106" s="41" t="s">
        <v>1462</v>
      </c>
      <c r="C1106" s="287">
        <v>0</v>
      </c>
      <c r="D1106" s="288">
        <f t="shared" si="234"/>
        <v>0</v>
      </c>
      <c r="E1106" s="287"/>
      <c r="F1106" s="287"/>
      <c r="G1106" s="287"/>
      <c r="H1106" s="287"/>
      <c r="I1106" s="302"/>
      <c r="J1106" s="303">
        <f t="shared" si="230"/>
        <v>0</v>
      </c>
    </row>
    <row r="1107" s="107" customFormat="1" ht="20.1" customHeight="1" spans="1:10">
      <c r="A1107" s="279" t="s">
        <v>3189</v>
      </c>
      <c r="B1107" s="41" t="s">
        <v>3190</v>
      </c>
      <c r="C1107" s="287">
        <v>0</v>
      </c>
      <c r="D1107" s="288">
        <f t="shared" si="234"/>
        <v>0</v>
      </c>
      <c r="E1107" s="287"/>
      <c r="F1107" s="287"/>
      <c r="G1107" s="287"/>
      <c r="H1107" s="287"/>
      <c r="I1107" s="302"/>
      <c r="J1107" s="303">
        <f t="shared" si="230"/>
        <v>0</v>
      </c>
    </row>
    <row r="1108" s="106" customFormat="1" ht="20.1" customHeight="1" spans="1:10">
      <c r="A1108" s="279" t="s">
        <v>3191</v>
      </c>
      <c r="B1108" s="41" t="s">
        <v>3192</v>
      </c>
      <c r="C1108" s="287">
        <v>0</v>
      </c>
      <c r="D1108" s="288">
        <f t="shared" si="234"/>
        <v>0</v>
      </c>
      <c r="E1108" s="287"/>
      <c r="F1108" s="287"/>
      <c r="G1108" s="287"/>
      <c r="H1108" s="287"/>
      <c r="I1108" s="302"/>
      <c r="J1108" s="303">
        <f t="shared" si="230"/>
        <v>0</v>
      </c>
    </row>
    <row r="1109" s="106" customFormat="1" ht="20.1" customHeight="1" spans="1:10">
      <c r="A1109" s="283" t="s">
        <v>792</v>
      </c>
      <c r="B1109" s="323" t="s">
        <v>3193</v>
      </c>
      <c r="C1109" s="285">
        <v>0</v>
      </c>
      <c r="D1109" s="285">
        <f t="shared" si="234"/>
        <v>0</v>
      </c>
      <c r="E1109" s="285">
        <f t="shared" ref="E1109:H1109" si="236">SUM(E1110:E1111)</f>
        <v>0</v>
      </c>
      <c r="F1109" s="285">
        <f t="shared" si="236"/>
        <v>0</v>
      </c>
      <c r="G1109" s="285">
        <f>VLOOKUP(A1109,[1]√表四、2025年公共财政支出变动表!$A$8:$S$221,18,FALSE)</f>
        <v>0</v>
      </c>
      <c r="H1109" s="285">
        <f t="shared" si="236"/>
        <v>0</v>
      </c>
      <c r="I1109" s="285"/>
      <c r="J1109" s="324">
        <f t="shared" si="230"/>
        <v>0</v>
      </c>
    </row>
    <row r="1110" s="106" customFormat="1" ht="20.1" customHeight="1" spans="1:10">
      <c r="A1110" s="279" t="s">
        <v>3194</v>
      </c>
      <c r="B1110" s="41" t="s">
        <v>3195</v>
      </c>
      <c r="C1110" s="287">
        <v>0</v>
      </c>
      <c r="D1110" s="288">
        <f t="shared" si="234"/>
        <v>0</v>
      </c>
      <c r="E1110" s="287"/>
      <c r="F1110" s="287"/>
      <c r="G1110" s="287"/>
      <c r="H1110" s="287"/>
      <c r="I1110" s="302"/>
      <c r="J1110" s="303">
        <f t="shared" si="230"/>
        <v>0</v>
      </c>
    </row>
    <row r="1111" s="106" customFormat="1" ht="20.1" customHeight="1" spans="1:10">
      <c r="A1111" s="279" t="s">
        <v>3196</v>
      </c>
      <c r="B1111" s="41" t="s">
        <v>793</v>
      </c>
      <c r="C1111" s="287">
        <v>0</v>
      </c>
      <c r="D1111" s="288">
        <f t="shared" si="234"/>
        <v>0</v>
      </c>
      <c r="E1111" s="287"/>
      <c r="F1111" s="287"/>
      <c r="G1111" s="287"/>
      <c r="H1111" s="287"/>
      <c r="I1111" s="302"/>
      <c r="J1111" s="303">
        <f t="shared" si="230"/>
        <v>0</v>
      </c>
    </row>
    <row r="1112" s="106" customFormat="1" ht="20.1" customHeight="1" spans="1:10">
      <c r="A1112" s="280" t="s">
        <v>794</v>
      </c>
      <c r="B1112" s="281" t="s">
        <v>795</v>
      </c>
      <c r="C1112" s="282">
        <f t="shared" ref="C1112:I1112" si="237">C1113+C1120+C1130+C1136+C1139</f>
        <v>37</v>
      </c>
      <c r="D1112" s="282">
        <f t="shared" si="234"/>
        <v>286</v>
      </c>
      <c r="E1112" s="282">
        <f t="shared" si="237"/>
        <v>0</v>
      </c>
      <c r="F1112" s="282">
        <f t="shared" si="237"/>
        <v>0</v>
      </c>
      <c r="G1112" s="282">
        <f t="shared" si="237"/>
        <v>286</v>
      </c>
      <c r="H1112" s="282">
        <f t="shared" si="237"/>
        <v>0</v>
      </c>
      <c r="I1112" s="282">
        <f t="shared" si="237"/>
        <v>0</v>
      </c>
      <c r="J1112" s="296">
        <f t="shared" si="230"/>
        <v>772.97</v>
      </c>
    </row>
    <row r="1113" s="107" customFormat="1" ht="20.1" customHeight="1" spans="1:10">
      <c r="A1113" s="283" t="s">
        <v>796</v>
      </c>
      <c r="B1113" s="323" t="s">
        <v>3197</v>
      </c>
      <c r="C1113" s="285">
        <f t="shared" ref="C1113:I1113" si="238">SUM(C1114:C1119)</f>
        <v>19</v>
      </c>
      <c r="D1113" s="285">
        <f t="shared" si="234"/>
        <v>0</v>
      </c>
      <c r="E1113" s="285">
        <f t="shared" si="238"/>
        <v>0</v>
      </c>
      <c r="F1113" s="285">
        <f t="shared" si="238"/>
        <v>0</v>
      </c>
      <c r="G1113" s="285">
        <f t="shared" si="238"/>
        <v>0</v>
      </c>
      <c r="H1113" s="285">
        <f t="shared" si="238"/>
        <v>0</v>
      </c>
      <c r="I1113" s="285">
        <f t="shared" si="238"/>
        <v>0</v>
      </c>
      <c r="J1113" s="324">
        <f t="shared" si="230"/>
        <v>-100</v>
      </c>
    </row>
    <row r="1114" s="106" customFormat="1" ht="20.1" customHeight="1" spans="1:10">
      <c r="A1114" s="279" t="s">
        <v>3198</v>
      </c>
      <c r="B1114" s="41" t="s">
        <v>1458</v>
      </c>
      <c r="C1114" s="287">
        <v>19</v>
      </c>
      <c r="D1114" s="288">
        <f t="shared" si="234"/>
        <v>0</v>
      </c>
      <c r="E1114" s="287"/>
      <c r="F1114" s="287"/>
      <c r="G1114" s="287"/>
      <c r="H1114" s="287"/>
      <c r="I1114" s="302"/>
      <c r="J1114" s="303">
        <f t="shared" si="230"/>
        <v>-100</v>
      </c>
    </row>
    <row r="1115" s="106" customFormat="1" ht="20.1" customHeight="1" spans="1:10">
      <c r="A1115" s="279" t="s">
        <v>3199</v>
      </c>
      <c r="B1115" s="41" t="s">
        <v>1460</v>
      </c>
      <c r="C1115" s="287">
        <v>0</v>
      </c>
      <c r="D1115" s="288">
        <f t="shared" si="234"/>
        <v>0</v>
      </c>
      <c r="E1115" s="287"/>
      <c r="F1115" s="287"/>
      <c r="G1115" s="287"/>
      <c r="H1115" s="287"/>
      <c r="I1115" s="302"/>
      <c r="J1115" s="303">
        <f t="shared" si="230"/>
        <v>0</v>
      </c>
    </row>
    <row r="1116" s="107" customFormat="1" ht="20.1" customHeight="1" spans="1:10">
      <c r="A1116" s="279" t="s">
        <v>3200</v>
      </c>
      <c r="B1116" s="41" t="s">
        <v>1462</v>
      </c>
      <c r="C1116" s="287">
        <v>0</v>
      </c>
      <c r="D1116" s="288">
        <f t="shared" si="234"/>
        <v>0</v>
      </c>
      <c r="E1116" s="287"/>
      <c r="F1116" s="287"/>
      <c r="G1116" s="287"/>
      <c r="H1116" s="287"/>
      <c r="I1116" s="302"/>
      <c r="J1116" s="303">
        <f t="shared" si="230"/>
        <v>0</v>
      </c>
    </row>
    <row r="1117" s="107" customFormat="1" ht="20.1" customHeight="1" spans="1:10">
      <c r="A1117" s="279" t="s">
        <v>3201</v>
      </c>
      <c r="B1117" s="41" t="s">
        <v>3202</v>
      </c>
      <c r="C1117" s="287">
        <v>0</v>
      </c>
      <c r="D1117" s="288">
        <f t="shared" si="234"/>
        <v>0</v>
      </c>
      <c r="E1117" s="287"/>
      <c r="F1117" s="287"/>
      <c r="G1117" s="287"/>
      <c r="H1117" s="287"/>
      <c r="I1117" s="302"/>
      <c r="J1117" s="303">
        <f t="shared" si="230"/>
        <v>0</v>
      </c>
    </row>
    <row r="1118" s="106" customFormat="1" ht="20.1" customHeight="1" spans="1:10">
      <c r="A1118" s="279" t="s">
        <v>3203</v>
      </c>
      <c r="B1118" s="41" t="s">
        <v>1476</v>
      </c>
      <c r="C1118" s="287">
        <v>0</v>
      </c>
      <c r="D1118" s="288">
        <f t="shared" si="234"/>
        <v>0</v>
      </c>
      <c r="E1118" s="287"/>
      <c r="F1118" s="287"/>
      <c r="G1118" s="287"/>
      <c r="H1118" s="287"/>
      <c r="I1118" s="302"/>
      <c r="J1118" s="303">
        <f t="shared" si="230"/>
        <v>0</v>
      </c>
    </row>
    <row r="1119" s="106" customFormat="1" ht="20.1" customHeight="1" spans="1:10">
      <c r="A1119" s="279" t="s">
        <v>3204</v>
      </c>
      <c r="B1119" s="41" t="s">
        <v>3205</v>
      </c>
      <c r="C1119" s="287">
        <v>0</v>
      </c>
      <c r="D1119" s="288">
        <f t="shared" si="234"/>
        <v>0</v>
      </c>
      <c r="E1119" s="287"/>
      <c r="F1119" s="287"/>
      <c r="G1119" s="287"/>
      <c r="H1119" s="287"/>
      <c r="I1119" s="302"/>
      <c r="J1119" s="303">
        <f t="shared" si="230"/>
        <v>0</v>
      </c>
    </row>
    <row r="1120" s="106" customFormat="1" ht="20.1" customHeight="1" spans="1:10">
      <c r="A1120" s="283" t="s">
        <v>797</v>
      </c>
      <c r="B1120" s="323" t="s">
        <v>3206</v>
      </c>
      <c r="C1120" s="285">
        <f t="shared" ref="C1120:I1120" si="239">SUM(C1121:C1129)</f>
        <v>0</v>
      </c>
      <c r="D1120" s="285">
        <f t="shared" si="234"/>
        <v>0</v>
      </c>
      <c r="E1120" s="285">
        <f t="shared" si="239"/>
        <v>0</v>
      </c>
      <c r="F1120" s="285">
        <f t="shared" si="239"/>
        <v>0</v>
      </c>
      <c r="G1120" s="285">
        <f t="shared" si="239"/>
        <v>0</v>
      </c>
      <c r="H1120" s="285">
        <f t="shared" si="239"/>
        <v>0</v>
      </c>
      <c r="I1120" s="285">
        <f t="shared" si="239"/>
        <v>0</v>
      </c>
      <c r="J1120" s="324"/>
    </row>
    <row r="1121" s="106" customFormat="1" ht="20.1" customHeight="1" spans="1:10">
      <c r="A1121" s="279" t="s">
        <v>3207</v>
      </c>
      <c r="B1121" s="41" t="s">
        <v>3208</v>
      </c>
      <c r="C1121" s="287"/>
      <c r="D1121" s="288">
        <f t="shared" si="234"/>
        <v>0</v>
      </c>
      <c r="E1121" s="287"/>
      <c r="F1121" s="287"/>
      <c r="G1121" s="287"/>
      <c r="H1121" s="287"/>
      <c r="I1121" s="302"/>
      <c r="J1121" s="303"/>
    </row>
    <row r="1122" s="106" customFormat="1" ht="20.1" customHeight="1" spans="1:10">
      <c r="A1122" s="279" t="s">
        <v>3209</v>
      </c>
      <c r="B1122" s="41" t="s">
        <v>3210</v>
      </c>
      <c r="C1122" s="287"/>
      <c r="D1122" s="288">
        <f t="shared" si="234"/>
        <v>0</v>
      </c>
      <c r="E1122" s="287"/>
      <c r="F1122" s="287"/>
      <c r="G1122" s="287"/>
      <c r="H1122" s="287"/>
      <c r="I1122" s="302"/>
      <c r="J1122" s="303"/>
    </row>
    <row r="1123" s="106" customFormat="1" ht="20.1" customHeight="1" spans="1:10">
      <c r="A1123" s="279" t="s">
        <v>3211</v>
      </c>
      <c r="B1123" s="41" t="s">
        <v>3212</v>
      </c>
      <c r="C1123" s="287"/>
      <c r="D1123" s="288">
        <f t="shared" si="234"/>
        <v>0</v>
      </c>
      <c r="E1123" s="287"/>
      <c r="F1123" s="287"/>
      <c r="G1123" s="287"/>
      <c r="H1123" s="287"/>
      <c r="I1123" s="302"/>
      <c r="J1123" s="303"/>
    </row>
    <row r="1124" s="107" customFormat="1" ht="20.1" customHeight="1" spans="1:10">
      <c r="A1124" s="279" t="s">
        <v>3213</v>
      </c>
      <c r="B1124" s="41" t="s">
        <v>3214</v>
      </c>
      <c r="C1124" s="287"/>
      <c r="D1124" s="288">
        <f t="shared" si="234"/>
        <v>0</v>
      </c>
      <c r="E1124" s="287"/>
      <c r="F1124" s="287"/>
      <c r="G1124" s="287"/>
      <c r="H1124" s="287"/>
      <c r="I1124" s="302"/>
      <c r="J1124" s="303"/>
    </row>
    <row r="1125" s="106" customFormat="1" ht="20.1" customHeight="1" spans="1:10">
      <c r="A1125" s="279" t="s">
        <v>3215</v>
      </c>
      <c r="B1125" s="41" t="s">
        <v>3216</v>
      </c>
      <c r="C1125" s="287"/>
      <c r="D1125" s="288">
        <f t="shared" si="234"/>
        <v>0</v>
      </c>
      <c r="E1125" s="287"/>
      <c r="F1125" s="287"/>
      <c r="G1125" s="287"/>
      <c r="H1125" s="287"/>
      <c r="I1125" s="302"/>
      <c r="J1125" s="303"/>
    </row>
    <row r="1126" s="106" customFormat="1" ht="20.1" customHeight="1" spans="1:10">
      <c r="A1126" s="279" t="s">
        <v>3217</v>
      </c>
      <c r="B1126" s="41" t="s">
        <v>3218</v>
      </c>
      <c r="C1126" s="287"/>
      <c r="D1126" s="288">
        <f t="shared" si="234"/>
        <v>0</v>
      </c>
      <c r="E1126" s="287"/>
      <c r="F1126" s="287"/>
      <c r="G1126" s="287"/>
      <c r="H1126" s="287"/>
      <c r="I1126" s="302"/>
      <c r="J1126" s="303"/>
    </row>
    <row r="1127" s="106" customFormat="1" ht="20.1" customHeight="1" spans="1:10">
      <c r="A1127" s="279" t="s">
        <v>3219</v>
      </c>
      <c r="B1127" s="41" t="s">
        <v>3220</v>
      </c>
      <c r="C1127" s="287"/>
      <c r="D1127" s="288">
        <f t="shared" si="234"/>
        <v>0</v>
      </c>
      <c r="E1127" s="287"/>
      <c r="F1127" s="287"/>
      <c r="G1127" s="287"/>
      <c r="H1127" s="287"/>
      <c r="I1127" s="302"/>
      <c r="J1127" s="303"/>
    </row>
    <row r="1128" s="106" customFormat="1" ht="20.1" customHeight="1" spans="1:10">
      <c r="A1128" s="279" t="s">
        <v>3221</v>
      </c>
      <c r="B1128" s="41" t="s">
        <v>3222</v>
      </c>
      <c r="C1128" s="287"/>
      <c r="D1128" s="288">
        <f t="shared" si="234"/>
        <v>0</v>
      </c>
      <c r="E1128" s="287"/>
      <c r="F1128" s="287"/>
      <c r="G1128" s="287"/>
      <c r="H1128" s="287"/>
      <c r="I1128" s="302"/>
      <c r="J1128" s="303"/>
    </row>
    <row r="1129" s="106" customFormat="1" ht="20.1" customHeight="1" spans="1:10">
      <c r="A1129" s="279" t="s">
        <v>3223</v>
      </c>
      <c r="B1129" s="41" t="s">
        <v>3224</v>
      </c>
      <c r="C1129" s="287"/>
      <c r="D1129" s="288">
        <f t="shared" si="234"/>
        <v>0</v>
      </c>
      <c r="E1129" s="287"/>
      <c r="F1129" s="287"/>
      <c r="G1129" s="287"/>
      <c r="H1129" s="287"/>
      <c r="I1129" s="302"/>
      <c r="J1129" s="303"/>
    </row>
    <row r="1130" s="106" customFormat="1" ht="20.1" customHeight="1" spans="1:10">
      <c r="A1130" s="283" t="s">
        <v>798</v>
      </c>
      <c r="B1130" s="323" t="s">
        <v>3225</v>
      </c>
      <c r="C1130" s="285">
        <f t="shared" ref="C1130:I1130" si="240">SUM(C1131:C1135)</f>
        <v>18</v>
      </c>
      <c r="D1130" s="285">
        <f t="shared" si="234"/>
        <v>286</v>
      </c>
      <c r="E1130" s="285">
        <f t="shared" si="240"/>
        <v>0</v>
      </c>
      <c r="F1130" s="285">
        <f t="shared" si="240"/>
        <v>0</v>
      </c>
      <c r="G1130" s="285">
        <f t="shared" si="240"/>
        <v>286</v>
      </c>
      <c r="H1130" s="285">
        <f t="shared" si="240"/>
        <v>0</v>
      </c>
      <c r="I1130" s="285">
        <f t="shared" si="240"/>
        <v>0</v>
      </c>
      <c r="J1130" s="324">
        <f t="shared" ref="J1130:J1139" si="241">ROUND(IF(C1130=0,IF(D1130=0,0,1),IF(D1130=0,-1,D1130/C1130)),4)*100</f>
        <v>1588.89</v>
      </c>
    </row>
    <row r="1131" s="106" customFormat="1" ht="20.1" customHeight="1" spans="1:10">
      <c r="A1131" s="279" t="s">
        <v>3226</v>
      </c>
      <c r="B1131" s="41" t="s">
        <v>3227</v>
      </c>
      <c r="C1131" s="287">
        <v>0</v>
      </c>
      <c r="D1131" s="288">
        <f t="shared" si="234"/>
        <v>0</v>
      </c>
      <c r="E1131" s="287"/>
      <c r="F1131" s="287"/>
      <c r="G1131" s="287"/>
      <c r="H1131" s="287"/>
      <c r="I1131" s="302"/>
      <c r="J1131" s="303">
        <f t="shared" si="241"/>
        <v>0</v>
      </c>
    </row>
    <row r="1132" s="106" customFormat="1" ht="20.1" customHeight="1" spans="1:10">
      <c r="A1132" s="279" t="s">
        <v>3228</v>
      </c>
      <c r="B1132" s="41" t="s">
        <v>3229</v>
      </c>
      <c r="C1132" s="287">
        <v>18</v>
      </c>
      <c r="D1132" s="288">
        <f t="shared" si="234"/>
        <v>286</v>
      </c>
      <c r="E1132" s="287"/>
      <c r="F1132" s="287"/>
      <c r="G1132" s="287">
        <v>286</v>
      </c>
      <c r="H1132" s="287"/>
      <c r="I1132" s="302"/>
      <c r="J1132" s="303">
        <f t="shared" si="241"/>
        <v>1588.89</v>
      </c>
    </row>
    <row r="1133" s="106" customFormat="1" ht="20.1" customHeight="1" spans="1:10">
      <c r="A1133" s="279" t="s">
        <v>3230</v>
      </c>
      <c r="B1133" s="41" t="s">
        <v>3231</v>
      </c>
      <c r="C1133" s="287">
        <v>0</v>
      </c>
      <c r="D1133" s="288">
        <f t="shared" si="234"/>
        <v>0</v>
      </c>
      <c r="E1133" s="287"/>
      <c r="F1133" s="287"/>
      <c r="G1133" s="287"/>
      <c r="H1133" s="287"/>
      <c r="I1133" s="302"/>
      <c r="J1133" s="303">
        <f t="shared" si="241"/>
        <v>0</v>
      </c>
    </row>
    <row r="1134" s="107" customFormat="1" ht="20.1" customHeight="1" spans="1:10">
      <c r="A1134" s="279" t="s">
        <v>3232</v>
      </c>
      <c r="B1134" s="41" t="s">
        <v>3233</v>
      </c>
      <c r="C1134" s="287">
        <v>0</v>
      </c>
      <c r="D1134" s="288">
        <f t="shared" si="234"/>
        <v>0</v>
      </c>
      <c r="E1134" s="287"/>
      <c r="F1134" s="287"/>
      <c r="G1134" s="287"/>
      <c r="H1134" s="287"/>
      <c r="I1134" s="302"/>
      <c r="J1134" s="303">
        <f t="shared" si="241"/>
        <v>0</v>
      </c>
    </row>
    <row r="1135" s="106" customFormat="1" ht="20.1" customHeight="1" spans="1:10">
      <c r="A1135" s="279" t="s">
        <v>3234</v>
      </c>
      <c r="B1135" s="41" t="s">
        <v>3235</v>
      </c>
      <c r="C1135" s="287">
        <v>0</v>
      </c>
      <c r="D1135" s="288">
        <f t="shared" si="234"/>
        <v>0</v>
      </c>
      <c r="E1135" s="287"/>
      <c r="F1135" s="287"/>
      <c r="G1135" s="287"/>
      <c r="H1135" s="287"/>
      <c r="I1135" s="302"/>
      <c r="J1135" s="303">
        <f t="shared" si="241"/>
        <v>0</v>
      </c>
    </row>
    <row r="1136" s="106" customFormat="1" ht="19.5" customHeight="1" spans="1:10">
      <c r="A1136" s="283" t="s">
        <v>799</v>
      </c>
      <c r="B1136" s="323" t="s">
        <v>3236</v>
      </c>
      <c r="C1136" s="285">
        <f t="shared" ref="C1136:I1136" si="242">SUM(C1137:C1138)</f>
        <v>0</v>
      </c>
      <c r="D1136" s="285">
        <f t="shared" si="234"/>
        <v>0</v>
      </c>
      <c r="E1136" s="285">
        <f t="shared" si="242"/>
        <v>0</v>
      </c>
      <c r="F1136" s="285">
        <f t="shared" si="242"/>
        <v>0</v>
      </c>
      <c r="G1136" s="285">
        <f t="shared" si="242"/>
        <v>0</v>
      </c>
      <c r="H1136" s="285">
        <f t="shared" si="242"/>
        <v>0</v>
      </c>
      <c r="I1136" s="285">
        <f t="shared" si="242"/>
        <v>0</v>
      </c>
      <c r="J1136" s="324">
        <f t="shared" si="241"/>
        <v>0</v>
      </c>
    </row>
    <row r="1137" s="106" customFormat="1" ht="20.1" customHeight="1" spans="1:10">
      <c r="A1137" s="279" t="s">
        <v>3237</v>
      </c>
      <c r="B1137" s="41" t="s">
        <v>3238</v>
      </c>
      <c r="C1137" s="287">
        <v>0</v>
      </c>
      <c r="D1137" s="288">
        <f t="shared" si="234"/>
        <v>0</v>
      </c>
      <c r="E1137" s="287"/>
      <c r="F1137" s="287"/>
      <c r="G1137" s="287"/>
      <c r="H1137" s="287"/>
      <c r="I1137" s="302"/>
      <c r="J1137" s="303">
        <f t="shared" si="241"/>
        <v>0</v>
      </c>
    </row>
    <row r="1138" s="106" customFormat="1" ht="20.1" customHeight="1" spans="1:10">
      <c r="A1138" s="279" t="s">
        <v>3239</v>
      </c>
      <c r="B1138" s="41" t="s">
        <v>3240</v>
      </c>
      <c r="C1138" s="287"/>
      <c r="D1138" s="288">
        <f t="shared" si="234"/>
        <v>0</v>
      </c>
      <c r="E1138" s="287"/>
      <c r="F1138" s="287"/>
      <c r="G1138" s="287"/>
      <c r="H1138" s="287"/>
      <c r="I1138" s="302"/>
      <c r="J1138" s="303">
        <f t="shared" si="241"/>
        <v>0</v>
      </c>
    </row>
    <row r="1139" s="106" customFormat="1" ht="20.1" customHeight="1" spans="1:10">
      <c r="A1139" s="283" t="s">
        <v>800</v>
      </c>
      <c r="B1139" s="323" t="s">
        <v>3241</v>
      </c>
      <c r="C1139" s="285">
        <f t="shared" ref="C1139:I1139" si="243">SUM(C1140:C1141)</f>
        <v>0</v>
      </c>
      <c r="D1139" s="285">
        <f t="shared" si="234"/>
        <v>0</v>
      </c>
      <c r="E1139" s="285">
        <f t="shared" si="243"/>
        <v>0</v>
      </c>
      <c r="F1139" s="285">
        <f t="shared" si="243"/>
        <v>0</v>
      </c>
      <c r="G1139" s="285">
        <f t="shared" si="243"/>
        <v>0</v>
      </c>
      <c r="H1139" s="285">
        <f t="shared" si="243"/>
        <v>0</v>
      </c>
      <c r="I1139" s="285">
        <f t="shared" si="243"/>
        <v>0</v>
      </c>
      <c r="J1139" s="324">
        <f t="shared" si="241"/>
        <v>0</v>
      </c>
    </row>
    <row r="1140" s="107" customFormat="1" ht="20.1" customHeight="1" spans="1:10">
      <c r="A1140" s="279" t="s">
        <v>3242</v>
      </c>
      <c r="B1140" s="41" t="s">
        <v>3243</v>
      </c>
      <c r="C1140" s="287"/>
      <c r="D1140" s="287">
        <f t="shared" si="234"/>
        <v>0</v>
      </c>
      <c r="E1140" s="287"/>
      <c r="F1140" s="287"/>
      <c r="G1140" s="287"/>
      <c r="H1140" s="287"/>
      <c r="I1140" s="302"/>
      <c r="J1140" s="303"/>
    </row>
    <row r="1141" s="106" customFormat="1" ht="20.1" customHeight="1" spans="1:10">
      <c r="A1141" s="279" t="s">
        <v>3244</v>
      </c>
      <c r="B1141" s="41" t="s">
        <v>435</v>
      </c>
      <c r="C1141" s="287"/>
      <c r="D1141" s="287">
        <f t="shared" si="234"/>
        <v>0</v>
      </c>
      <c r="E1141" s="287"/>
      <c r="F1141" s="287"/>
      <c r="G1141" s="287"/>
      <c r="H1141" s="287"/>
      <c r="I1141" s="302"/>
      <c r="J1141" s="303"/>
    </row>
    <row r="1142" s="106" customFormat="1" ht="19.5" customHeight="1" spans="1:10">
      <c r="A1142" s="280" t="s">
        <v>801</v>
      </c>
      <c r="B1142" s="281" t="s">
        <v>802</v>
      </c>
      <c r="C1142" s="282">
        <v>0</v>
      </c>
      <c r="D1142" s="282">
        <f t="shared" si="234"/>
        <v>0</v>
      </c>
      <c r="E1142" s="282">
        <f t="shared" ref="E1142:H1142" si="244">SUM(E1143:E1151)</f>
        <v>0</v>
      </c>
      <c r="F1142" s="282">
        <f t="shared" si="244"/>
        <v>0</v>
      </c>
      <c r="G1142" s="282">
        <f>VLOOKUP(A1142,[1]√表四、2025年公共财政支出变动表!$A$8:$S$221,18,FALSE)</f>
        <v>0</v>
      </c>
      <c r="H1142" s="282">
        <f t="shared" si="244"/>
        <v>0</v>
      </c>
      <c r="I1142" s="282"/>
      <c r="J1142" s="296">
        <f t="shared" ref="J1142:J1167" si="245">ROUND(IF(C1142=0,IF(D1142=0,0,1),IF(D1142=0,-1,D1142/C1142)),4)*100</f>
        <v>0</v>
      </c>
    </row>
    <row r="1143" s="107" customFormat="1" ht="20.1" customHeight="1" spans="1:10">
      <c r="A1143" s="283" t="s">
        <v>803</v>
      </c>
      <c r="B1143" s="323" t="s">
        <v>3245</v>
      </c>
      <c r="C1143" s="285">
        <v>0</v>
      </c>
      <c r="D1143" s="285">
        <f t="shared" si="234"/>
        <v>0</v>
      </c>
      <c r="E1143" s="285"/>
      <c r="F1143" s="285"/>
      <c r="G1143" s="285"/>
      <c r="H1143" s="285"/>
      <c r="I1143" s="285"/>
      <c r="J1143" s="324">
        <f t="shared" si="245"/>
        <v>0</v>
      </c>
    </row>
    <row r="1144" s="106" customFormat="1" ht="20.1" customHeight="1" spans="1:10">
      <c r="A1144" s="283" t="s">
        <v>805</v>
      </c>
      <c r="B1144" s="128" t="s">
        <v>3246</v>
      </c>
      <c r="C1144" s="285">
        <v>0</v>
      </c>
      <c r="D1144" s="285">
        <f t="shared" si="234"/>
        <v>0</v>
      </c>
      <c r="E1144" s="285"/>
      <c r="F1144" s="285"/>
      <c r="G1144" s="285"/>
      <c r="H1144" s="285"/>
      <c r="I1144" s="354"/>
      <c r="J1144" s="299">
        <f t="shared" si="245"/>
        <v>0</v>
      </c>
    </row>
    <row r="1145" s="106" customFormat="1" ht="20.1" customHeight="1" spans="1:10">
      <c r="A1145" s="283" t="s">
        <v>807</v>
      </c>
      <c r="B1145" s="128" t="s">
        <v>3247</v>
      </c>
      <c r="C1145" s="285">
        <v>0</v>
      </c>
      <c r="D1145" s="285">
        <f t="shared" si="234"/>
        <v>0</v>
      </c>
      <c r="E1145" s="285"/>
      <c r="F1145" s="285"/>
      <c r="G1145" s="285"/>
      <c r="H1145" s="285"/>
      <c r="I1145" s="354"/>
      <c r="J1145" s="299">
        <f t="shared" si="245"/>
        <v>0</v>
      </c>
    </row>
    <row r="1146" s="107" customFormat="1" ht="20.1" customHeight="1" spans="1:10">
      <c r="A1146" s="283" t="s">
        <v>809</v>
      </c>
      <c r="B1146" s="128" t="s">
        <v>3248</v>
      </c>
      <c r="C1146" s="285">
        <v>0</v>
      </c>
      <c r="D1146" s="285">
        <f t="shared" si="234"/>
        <v>0</v>
      </c>
      <c r="E1146" s="285"/>
      <c r="F1146" s="285"/>
      <c r="G1146" s="285"/>
      <c r="H1146" s="285"/>
      <c r="I1146" s="354"/>
      <c r="J1146" s="299">
        <f t="shared" si="245"/>
        <v>0</v>
      </c>
    </row>
    <row r="1147" s="107" customFormat="1" ht="20.1" customHeight="1" spans="1:10">
      <c r="A1147" s="283" t="s">
        <v>811</v>
      </c>
      <c r="B1147" s="128" t="s">
        <v>3249</v>
      </c>
      <c r="C1147" s="285">
        <v>0</v>
      </c>
      <c r="D1147" s="285">
        <f t="shared" si="234"/>
        <v>0</v>
      </c>
      <c r="E1147" s="285"/>
      <c r="F1147" s="285"/>
      <c r="G1147" s="285"/>
      <c r="H1147" s="285"/>
      <c r="I1147" s="354"/>
      <c r="J1147" s="299">
        <f t="shared" si="245"/>
        <v>0</v>
      </c>
    </row>
    <row r="1148" s="107" customFormat="1" ht="20.1" customHeight="1" spans="1:10">
      <c r="A1148" s="283" t="s">
        <v>813</v>
      </c>
      <c r="B1148" s="128" t="s">
        <v>2802</v>
      </c>
      <c r="C1148" s="285">
        <v>0</v>
      </c>
      <c r="D1148" s="285">
        <f t="shared" si="234"/>
        <v>0</v>
      </c>
      <c r="E1148" s="285"/>
      <c r="F1148" s="285"/>
      <c r="G1148" s="285"/>
      <c r="H1148" s="285"/>
      <c r="I1148" s="354"/>
      <c r="J1148" s="299">
        <f t="shared" si="245"/>
        <v>0</v>
      </c>
    </row>
    <row r="1149" s="107" customFormat="1" ht="20.1" customHeight="1" spans="1:10">
      <c r="A1149" s="283" t="s">
        <v>814</v>
      </c>
      <c r="B1149" s="128" t="s">
        <v>3250</v>
      </c>
      <c r="C1149" s="285">
        <v>0</v>
      </c>
      <c r="D1149" s="285">
        <f t="shared" si="234"/>
        <v>0</v>
      </c>
      <c r="E1149" s="285"/>
      <c r="F1149" s="285"/>
      <c r="G1149" s="285"/>
      <c r="H1149" s="285"/>
      <c r="I1149" s="354"/>
      <c r="J1149" s="299">
        <f t="shared" si="245"/>
        <v>0</v>
      </c>
    </row>
    <row r="1150" s="107" customFormat="1" ht="20.1" customHeight="1" spans="1:10">
      <c r="A1150" s="283" t="s">
        <v>816</v>
      </c>
      <c r="B1150" s="128" t="s">
        <v>3251</v>
      </c>
      <c r="C1150" s="285">
        <v>0</v>
      </c>
      <c r="D1150" s="285">
        <f t="shared" si="234"/>
        <v>0</v>
      </c>
      <c r="E1150" s="285"/>
      <c r="F1150" s="285"/>
      <c r="G1150" s="285"/>
      <c r="H1150" s="285"/>
      <c r="I1150" s="354"/>
      <c r="J1150" s="299">
        <f t="shared" si="245"/>
        <v>0</v>
      </c>
    </row>
    <row r="1151" s="107" customFormat="1" ht="20.1" customHeight="1" spans="1:10">
      <c r="A1151" s="283" t="s">
        <v>818</v>
      </c>
      <c r="B1151" s="128" t="s">
        <v>3252</v>
      </c>
      <c r="C1151" s="285">
        <v>0</v>
      </c>
      <c r="D1151" s="285">
        <f t="shared" si="234"/>
        <v>0</v>
      </c>
      <c r="E1151" s="285"/>
      <c r="F1151" s="285"/>
      <c r="G1151" s="285"/>
      <c r="H1151" s="285"/>
      <c r="I1151" s="354"/>
      <c r="J1151" s="299">
        <f t="shared" si="245"/>
        <v>0</v>
      </c>
    </row>
    <row r="1152" s="107" customFormat="1" ht="20.1" customHeight="1" spans="1:10">
      <c r="A1152" s="280" t="s">
        <v>820</v>
      </c>
      <c r="B1152" s="281" t="s">
        <v>821</v>
      </c>
      <c r="C1152" s="282">
        <f t="shared" ref="C1152:I1152" si="246">C1153+C1180+C1195</f>
        <v>1098</v>
      </c>
      <c r="D1152" s="282">
        <f t="shared" si="234"/>
        <v>1230</v>
      </c>
      <c r="E1152" s="282">
        <f t="shared" si="246"/>
        <v>0</v>
      </c>
      <c r="F1152" s="282">
        <f t="shared" si="246"/>
        <v>108</v>
      </c>
      <c r="G1152" s="282">
        <f t="shared" si="246"/>
        <v>163</v>
      </c>
      <c r="H1152" s="282">
        <f t="shared" si="246"/>
        <v>0</v>
      </c>
      <c r="I1152" s="282">
        <f t="shared" si="246"/>
        <v>959</v>
      </c>
      <c r="J1152" s="296">
        <f t="shared" si="245"/>
        <v>112.02</v>
      </c>
    </row>
    <row r="1153" s="107" customFormat="1" ht="20.1" customHeight="1" spans="1:10">
      <c r="A1153" s="283" t="s">
        <v>822</v>
      </c>
      <c r="B1153" s="323" t="s">
        <v>3253</v>
      </c>
      <c r="C1153" s="285">
        <f t="shared" ref="C1153:I1153" si="247">SUM(C1154:C1179)</f>
        <v>1033</v>
      </c>
      <c r="D1153" s="285">
        <f t="shared" si="234"/>
        <v>1145</v>
      </c>
      <c r="E1153" s="285">
        <f t="shared" si="247"/>
        <v>0</v>
      </c>
      <c r="F1153" s="285">
        <f t="shared" si="247"/>
        <v>108</v>
      </c>
      <c r="G1153" s="285">
        <f t="shared" si="247"/>
        <v>163</v>
      </c>
      <c r="H1153" s="285">
        <f t="shared" si="247"/>
        <v>0</v>
      </c>
      <c r="I1153" s="285">
        <f t="shared" si="247"/>
        <v>874</v>
      </c>
      <c r="J1153" s="324">
        <f t="shared" si="245"/>
        <v>110.84</v>
      </c>
    </row>
    <row r="1154" s="107" customFormat="1" ht="20.1" customHeight="1" spans="1:10">
      <c r="A1154" s="279" t="s">
        <v>3254</v>
      </c>
      <c r="B1154" s="41" t="s">
        <v>1458</v>
      </c>
      <c r="C1154" s="287">
        <v>581</v>
      </c>
      <c r="D1154" s="288">
        <f t="shared" si="234"/>
        <v>545</v>
      </c>
      <c r="E1154" s="287"/>
      <c r="F1154" s="287"/>
      <c r="G1154" s="287"/>
      <c r="H1154" s="287"/>
      <c r="I1154" s="302">
        <v>545</v>
      </c>
      <c r="J1154" s="303">
        <f t="shared" si="245"/>
        <v>93.8</v>
      </c>
    </row>
    <row r="1155" s="107" customFormat="1" ht="20.1" customHeight="1" spans="1:10">
      <c r="A1155" s="279" t="s">
        <v>3255</v>
      </c>
      <c r="B1155" s="41" t="s">
        <v>1460</v>
      </c>
      <c r="C1155" s="287">
        <v>4</v>
      </c>
      <c r="D1155" s="288">
        <f t="shared" si="234"/>
        <v>0</v>
      </c>
      <c r="E1155" s="287"/>
      <c r="F1155" s="287"/>
      <c r="G1155" s="287"/>
      <c r="H1155" s="287"/>
      <c r="I1155" s="302"/>
      <c r="J1155" s="303">
        <f t="shared" si="245"/>
        <v>-100</v>
      </c>
    </row>
    <row r="1156" s="107" customFormat="1" ht="20.1" customHeight="1" spans="1:10">
      <c r="A1156" s="279" t="s">
        <v>3256</v>
      </c>
      <c r="B1156" s="41" t="s">
        <v>1462</v>
      </c>
      <c r="C1156" s="287"/>
      <c r="D1156" s="288">
        <f t="shared" si="234"/>
        <v>0</v>
      </c>
      <c r="E1156" s="287"/>
      <c r="F1156" s="287"/>
      <c r="G1156" s="287"/>
      <c r="H1156" s="287"/>
      <c r="I1156" s="302"/>
      <c r="J1156" s="303">
        <f t="shared" si="245"/>
        <v>0</v>
      </c>
    </row>
    <row r="1157" s="107" customFormat="1" ht="20.1" customHeight="1" spans="1:10">
      <c r="A1157" s="279" t="s">
        <v>3257</v>
      </c>
      <c r="B1157" s="41" t="s">
        <v>3258</v>
      </c>
      <c r="C1157" s="287">
        <v>5</v>
      </c>
      <c r="D1157" s="288">
        <f t="shared" si="234"/>
        <v>0</v>
      </c>
      <c r="E1157" s="287"/>
      <c r="F1157" s="287"/>
      <c r="G1157" s="287"/>
      <c r="H1157" s="287"/>
      <c r="I1157" s="302"/>
      <c r="J1157" s="303">
        <f t="shared" si="245"/>
        <v>-100</v>
      </c>
    </row>
    <row r="1158" s="106" customFormat="1" ht="20.1" customHeight="1" spans="1:10">
      <c r="A1158" s="279" t="s">
        <v>3259</v>
      </c>
      <c r="B1158" s="41" t="s">
        <v>3260</v>
      </c>
      <c r="C1158" s="287">
        <v>101</v>
      </c>
      <c r="D1158" s="288">
        <f t="shared" ref="D1158:D1195" si="248">SUM(E1158:I1158)</f>
        <v>271</v>
      </c>
      <c r="E1158" s="287"/>
      <c r="F1158" s="287">
        <v>108</v>
      </c>
      <c r="G1158" s="287">
        <v>163</v>
      </c>
      <c r="H1158" s="287"/>
      <c r="I1158" s="302"/>
      <c r="J1158" s="303">
        <f t="shared" si="245"/>
        <v>268.32</v>
      </c>
    </row>
    <row r="1159" s="106" customFormat="1" ht="20.1" customHeight="1" spans="1:10">
      <c r="A1159" s="279" t="s">
        <v>3261</v>
      </c>
      <c r="B1159" s="41" t="s">
        <v>3262</v>
      </c>
      <c r="C1159" s="287"/>
      <c r="D1159" s="288">
        <f t="shared" si="248"/>
        <v>0</v>
      </c>
      <c r="E1159" s="287"/>
      <c r="F1159" s="287"/>
      <c r="G1159" s="287"/>
      <c r="H1159" s="287"/>
      <c r="I1159" s="302"/>
      <c r="J1159" s="303">
        <f t="shared" si="245"/>
        <v>0</v>
      </c>
    </row>
    <row r="1160" s="106" customFormat="1" ht="20.1" customHeight="1" spans="1:10">
      <c r="A1160" s="279" t="s">
        <v>3263</v>
      </c>
      <c r="B1160" s="41" t="s">
        <v>3264</v>
      </c>
      <c r="C1160" s="287">
        <v>18</v>
      </c>
      <c r="D1160" s="288">
        <f t="shared" si="248"/>
        <v>25</v>
      </c>
      <c r="E1160" s="287"/>
      <c r="F1160" s="287"/>
      <c r="G1160" s="287"/>
      <c r="H1160" s="287"/>
      <c r="I1160" s="302">
        <v>25</v>
      </c>
      <c r="J1160" s="303">
        <f t="shared" si="245"/>
        <v>138.89</v>
      </c>
    </row>
    <row r="1161" s="106" customFormat="1" ht="20.1" customHeight="1" spans="1:10">
      <c r="A1161" s="279" t="s">
        <v>3265</v>
      </c>
      <c r="B1161" s="41" t="s">
        <v>3266</v>
      </c>
      <c r="C1161" s="287">
        <v>33</v>
      </c>
      <c r="D1161" s="288">
        <f t="shared" si="248"/>
        <v>0</v>
      </c>
      <c r="E1161" s="287"/>
      <c r="F1161" s="287"/>
      <c r="G1161" s="287"/>
      <c r="H1161" s="287"/>
      <c r="I1161" s="302"/>
      <c r="J1161" s="303">
        <f t="shared" si="245"/>
        <v>-100</v>
      </c>
    </row>
    <row r="1162" s="106" customFormat="1" ht="20.1" customHeight="1" spans="1:10">
      <c r="A1162" s="279" t="s">
        <v>3267</v>
      </c>
      <c r="B1162" s="41" t="s">
        <v>3268</v>
      </c>
      <c r="C1162" s="287">
        <v>96</v>
      </c>
      <c r="D1162" s="288">
        <f t="shared" si="248"/>
        <v>103</v>
      </c>
      <c r="E1162" s="287"/>
      <c r="F1162" s="287"/>
      <c r="G1162" s="287"/>
      <c r="H1162" s="287"/>
      <c r="I1162" s="302">
        <v>103</v>
      </c>
      <c r="J1162" s="303">
        <f t="shared" si="245"/>
        <v>107.29</v>
      </c>
    </row>
    <row r="1163" s="106" customFormat="1" ht="20.1" customHeight="1" spans="1:10">
      <c r="A1163" s="279" t="s">
        <v>3269</v>
      </c>
      <c r="B1163" s="41" t="s">
        <v>3270</v>
      </c>
      <c r="C1163" s="287"/>
      <c r="D1163" s="288">
        <f t="shared" si="248"/>
        <v>0</v>
      </c>
      <c r="E1163" s="287"/>
      <c r="F1163" s="287"/>
      <c r="G1163" s="287"/>
      <c r="H1163" s="287"/>
      <c r="I1163" s="302"/>
      <c r="J1163" s="303">
        <f t="shared" si="245"/>
        <v>0</v>
      </c>
    </row>
    <row r="1164" s="106" customFormat="1" ht="20.1" customHeight="1" spans="1:10">
      <c r="A1164" s="279" t="s">
        <v>3271</v>
      </c>
      <c r="B1164" s="41" t="s">
        <v>3272</v>
      </c>
      <c r="C1164" s="287">
        <v>24</v>
      </c>
      <c r="D1164" s="288">
        <f t="shared" si="248"/>
        <v>47</v>
      </c>
      <c r="E1164" s="287"/>
      <c r="F1164" s="287"/>
      <c r="G1164" s="287"/>
      <c r="H1164" s="287"/>
      <c r="I1164" s="302">
        <v>47</v>
      </c>
      <c r="J1164" s="303">
        <f t="shared" si="245"/>
        <v>195.83</v>
      </c>
    </row>
    <row r="1165" s="106" customFormat="1" ht="20.1" customHeight="1" spans="1:10">
      <c r="A1165" s="279" t="s">
        <v>3273</v>
      </c>
      <c r="B1165" s="41" t="s">
        <v>3274</v>
      </c>
      <c r="C1165" s="287"/>
      <c r="D1165" s="288">
        <f t="shared" si="248"/>
        <v>0</v>
      </c>
      <c r="E1165" s="287"/>
      <c r="F1165" s="287"/>
      <c r="G1165" s="287"/>
      <c r="H1165" s="287"/>
      <c r="I1165" s="302"/>
      <c r="J1165" s="303">
        <f t="shared" si="245"/>
        <v>0</v>
      </c>
    </row>
    <row r="1166" s="106" customFormat="1" ht="20.1" customHeight="1" spans="1:10">
      <c r="A1166" s="279" t="s">
        <v>3275</v>
      </c>
      <c r="B1166" s="41" t="s">
        <v>3276</v>
      </c>
      <c r="C1166" s="287"/>
      <c r="D1166" s="288">
        <f t="shared" si="248"/>
        <v>0</v>
      </c>
      <c r="E1166" s="287"/>
      <c r="F1166" s="287"/>
      <c r="G1166" s="287"/>
      <c r="H1166" s="287"/>
      <c r="I1166" s="302"/>
      <c r="J1166" s="303">
        <f t="shared" si="245"/>
        <v>0</v>
      </c>
    </row>
    <row r="1167" s="106" customFormat="1" ht="20.1" customHeight="1" spans="1:10">
      <c r="A1167" s="279" t="s">
        <v>3277</v>
      </c>
      <c r="B1167" s="41" t="s">
        <v>3278</v>
      </c>
      <c r="C1167" s="287"/>
      <c r="D1167" s="288">
        <f t="shared" si="248"/>
        <v>0</v>
      </c>
      <c r="E1167" s="287"/>
      <c r="F1167" s="287"/>
      <c r="G1167" s="287"/>
      <c r="H1167" s="287"/>
      <c r="I1167" s="302"/>
      <c r="J1167" s="303">
        <f t="shared" si="245"/>
        <v>0</v>
      </c>
    </row>
    <row r="1168" s="106" customFormat="1" ht="20.1" customHeight="1" spans="1:10">
      <c r="A1168" s="279" t="s">
        <v>3279</v>
      </c>
      <c r="B1168" s="356" t="s">
        <v>3280</v>
      </c>
      <c r="C1168" s="287"/>
      <c r="D1168" s="288">
        <f t="shared" si="248"/>
        <v>0</v>
      </c>
      <c r="E1168" s="287"/>
      <c r="F1168" s="287"/>
      <c r="G1168" s="287"/>
      <c r="H1168" s="287"/>
      <c r="I1168" s="302"/>
      <c r="J1168" s="303"/>
    </row>
    <row r="1169" s="106" customFormat="1" ht="20.1" customHeight="1" spans="1:10">
      <c r="A1169" s="279" t="s">
        <v>3281</v>
      </c>
      <c r="B1169" s="356" t="s">
        <v>3282</v>
      </c>
      <c r="C1169" s="287"/>
      <c r="D1169" s="288">
        <f t="shared" si="248"/>
        <v>0</v>
      </c>
      <c r="E1169" s="287"/>
      <c r="F1169" s="287"/>
      <c r="G1169" s="287"/>
      <c r="H1169" s="287"/>
      <c r="I1169" s="302"/>
      <c r="J1169" s="303"/>
    </row>
    <row r="1170" s="106" customFormat="1" ht="20.1" customHeight="1" spans="1:10">
      <c r="A1170" s="279" t="s">
        <v>3283</v>
      </c>
      <c r="B1170" s="356" t="s">
        <v>3284</v>
      </c>
      <c r="C1170" s="287"/>
      <c r="D1170" s="288">
        <f t="shared" si="248"/>
        <v>0</v>
      </c>
      <c r="E1170" s="287"/>
      <c r="F1170" s="287"/>
      <c r="G1170" s="287"/>
      <c r="H1170" s="287"/>
      <c r="I1170" s="302"/>
      <c r="J1170" s="303"/>
    </row>
    <row r="1171" s="106" customFormat="1" ht="20.1" customHeight="1" spans="1:10">
      <c r="A1171" s="279" t="s">
        <v>3285</v>
      </c>
      <c r="B1171" s="356" t="s">
        <v>3286</v>
      </c>
      <c r="C1171" s="287"/>
      <c r="D1171" s="288">
        <f t="shared" si="248"/>
        <v>0</v>
      </c>
      <c r="E1171" s="287"/>
      <c r="F1171" s="287"/>
      <c r="G1171" s="287"/>
      <c r="H1171" s="287"/>
      <c r="I1171" s="302"/>
      <c r="J1171" s="303"/>
    </row>
    <row r="1172" s="106" customFormat="1" ht="20.1" customHeight="1" spans="1:10">
      <c r="A1172" s="279" t="s">
        <v>3287</v>
      </c>
      <c r="B1172" s="356" t="s">
        <v>3288</v>
      </c>
      <c r="C1172" s="287"/>
      <c r="D1172" s="288">
        <f t="shared" si="248"/>
        <v>0</v>
      </c>
      <c r="E1172" s="287"/>
      <c r="F1172" s="287"/>
      <c r="G1172" s="287"/>
      <c r="H1172" s="287"/>
      <c r="I1172" s="302"/>
      <c r="J1172" s="303"/>
    </row>
    <row r="1173" s="106" customFormat="1" ht="20.1" customHeight="1" spans="1:10">
      <c r="A1173" s="279" t="s">
        <v>3289</v>
      </c>
      <c r="B1173" s="356" t="s">
        <v>3290</v>
      </c>
      <c r="C1173" s="287"/>
      <c r="D1173" s="288">
        <f t="shared" si="248"/>
        <v>0</v>
      </c>
      <c r="E1173" s="287"/>
      <c r="F1173" s="287"/>
      <c r="G1173" s="287"/>
      <c r="H1173" s="287"/>
      <c r="I1173" s="302"/>
      <c r="J1173" s="303"/>
    </row>
    <row r="1174" s="106" customFormat="1" ht="20.1" customHeight="1" spans="1:10">
      <c r="A1174" s="279" t="s">
        <v>3291</v>
      </c>
      <c r="B1174" s="356" t="s">
        <v>3292</v>
      </c>
      <c r="C1174" s="287"/>
      <c r="D1174" s="288">
        <f t="shared" si="248"/>
        <v>0</v>
      </c>
      <c r="E1174" s="287"/>
      <c r="F1174" s="287"/>
      <c r="G1174" s="287"/>
      <c r="H1174" s="287"/>
      <c r="I1174" s="302"/>
      <c r="J1174" s="303"/>
    </row>
    <row r="1175" s="106" customFormat="1" ht="20.1" customHeight="1" spans="1:10">
      <c r="A1175" s="279" t="s">
        <v>3293</v>
      </c>
      <c r="B1175" s="356" t="s">
        <v>3294</v>
      </c>
      <c r="C1175" s="287"/>
      <c r="D1175" s="288">
        <f t="shared" si="248"/>
        <v>0</v>
      </c>
      <c r="E1175" s="287"/>
      <c r="F1175" s="287"/>
      <c r="G1175" s="287"/>
      <c r="H1175" s="287"/>
      <c r="I1175" s="302"/>
      <c r="J1175" s="303"/>
    </row>
    <row r="1176" s="106" customFormat="1" ht="20.1" customHeight="1" spans="1:10">
      <c r="A1176" s="279" t="s">
        <v>3295</v>
      </c>
      <c r="B1176" s="356" t="s">
        <v>3296</v>
      </c>
      <c r="C1176" s="287"/>
      <c r="D1176" s="288">
        <f t="shared" si="248"/>
        <v>0</v>
      </c>
      <c r="E1176" s="287"/>
      <c r="F1176" s="287"/>
      <c r="G1176" s="287"/>
      <c r="H1176" s="287"/>
      <c r="I1176" s="302"/>
      <c r="J1176" s="303"/>
    </row>
    <row r="1177" s="106" customFormat="1" ht="20.1" customHeight="1" spans="1:10">
      <c r="A1177" s="279" t="s">
        <v>3297</v>
      </c>
      <c r="B1177" s="356" t="s">
        <v>3298</v>
      </c>
      <c r="C1177" s="287"/>
      <c r="D1177" s="288">
        <f t="shared" si="248"/>
        <v>0</v>
      </c>
      <c r="E1177" s="287"/>
      <c r="F1177" s="287"/>
      <c r="G1177" s="287"/>
      <c r="H1177" s="287"/>
      <c r="I1177" s="302"/>
      <c r="J1177" s="303"/>
    </row>
    <row r="1178" s="106" customFormat="1" ht="20.1" customHeight="1" spans="1:10">
      <c r="A1178" s="279" t="s">
        <v>3299</v>
      </c>
      <c r="B1178" s="41" t="s">
        <v>1476</v>
      </c>
      <c r="C1178" s="287">
        <v>8</v>
      </c>
      <c r="D1178" s="288">
        <f t="shared" si="248"/>
        <v>10</v>
      </c>
      <c r="E1178" s="287"/>
      <c r="F1178" s="287"/>
      <c r="G1178" s="287"/>
      <c r="H1178" s="287"/>
      <c r="I1178" s="302">
        <v>10</v>
      </c>
      <c r="J1178" s="303">
        <f t="shared" ref="J1178:J1195" si="249">ROUND(IF(C1178=0,IF(D1178=0,0,1),IF(D1178=0,-1,D1178/C1178)),4)*100</f>
        <v>125</v>
      </c>
    </row>
    <row r="1179" s="106" customFormat="1" ht="20.1" customHeight="1" spans="1:10">
      <c r="A1179" s="279" t="s">
        <v>3300</v>
      </c>
      <c r="B1179" s="41" t="s">
        <v>3301</v>
      </c>
      <c r="C1179" s="287">
        <v>163</v>
      </c>
      <c r="D1179" s="288">
        <f t="shared" si="248"/>
        <v>144</v>
      </c>
      <c r="E1179" s="287"/>
      <c r="F1179" s="287"/>
      <c r="G1179" s="287"/>
      <c r="H1179" s="287"/>
      <c r="I1179" s="302">
        <v>144</v>
      </c>
      <c r="J1179" s="303">
        <f t="shared" si="249"/>
        <v>88.34</v>
      </c>
    </row>
    <row r="1180" s="106" customFormat="1" ht="20.1" customHeight="1" spans="1:10">
      <c r="A1180" s="283" t="s">
        <v>3302</v>
      </c>
      <c r="B1180" s="323" t="s">
        <v>3303</v>
      </c>
      <c r="C1180" s="285">
        <f t="shared" ref="C1180:I1180" si="250">SUM(C1181:C1194)</f>
        <v>65</v>
      </c>
      <c r="D1180" s="285">
        <f t="shared" si="248"/>
        <v>85</v>
      </c>
      <c r="E1180" s="285">
        <f t="shared" si="250"/>
        <v>0</v>
      </c>
      <c r="F1180" s="285">
        <f t="shared" si="250"/>
        <v>0</v>
      </c>
      <c r="G1180" s="285">
        <f t="shared" si="250"/>
        <v>0</v>
      </c>
      <c r="H1180" s="285">
        <f t="shared" si="250"/>
        <v>0</v>
      </c>
      <c r="I1180" s="285">
        <f t="shared" si="250"/>
        <v>85</v>
      </c>
      <c r="J1180" s="324">
        <f t="shared" si="249"/>
        <v>130.77</v>
      </c>
    </row>
    <row r="1181" s="106" customFormat="1" ht="20.1" customHeight="1" spans="1:10">
      <c r="A1181" s="279" t="s">
        <v>3304</v>
      </c>
      <c r="B1181" s="41" t="s">
        <v>1458</v>
      </c>
      <c r="C1181" s="287">
        <v>11</v>
      </c>
      <c r="D1181" s="288">
        <f t="shared" si="248"/>
        <v>9</v>
      </c>
      <c r="E1181" s="287"/>
      <c r="F1181" s="287"/>
      <c r="G1181" s="287"/>
      <c r="H1181" s="287"/>
      <c r="I1181" s="302">
        <v>9</v>
      </c>
      <c r="J1181" s="303">
        <f t="shared" si="249"/>
        <v>81.82</v>
      </c>
    </row>
    <row r="1182" s="106" customFormat="1" ht="20.1" customHeight="1" spans="1:10">
      <c r="A1182" s="279" t="s">
        <v>3305</v>
      </c>
      <c r="B1182" s="41" t="s">
        <v>1460</v>
      </c>
      <c r="C1182" s="287"/>
      <c r="D1182" s="288">
        <f t="shared" si="248"/>
        <v>0</v>
      </c>
      <c r="E1182" s="287"/>
      <c r="F1182" s="287"/>
      <c r="G1182" s="287"/>
      <c r="H1182" s="287"/>
      <c r="I1182" s="302"/>
      <c r="J1182" s="303">
        <f t="shared" si="249"/>
        <v>0</v>
      </c>
    </row>
    <row r="1183" s="106" customFormat="1" ht="20.1" customHeight="1" spans="1:10">
      <c r="A1183" s="279" t="s">
        <v>3306</v>
      </c>
      <c r="B1183" s="41" t="s">
        <v>1462</v>
      </c>
      <c r="C1183" s="287"/>
      <c r="D1183" s="288">
        <f t="shared" si="248"/>
        <v>0</v>
      </c>
      <c r="E1183" s="287"/>
      <c r="F1183" s="287"/>
      <c r="G1183" s="287"/>
      <c r="H1183" s="287"/>
      <c r="I1183" s="302"/>
      <c r="J1183" s="303">
        <f t="shared" si="249"/>
        <v>0</v>
      </c>
    </row>
    <row r="1184" s="107" customFormat="1" ht="20.1" customHeight="1" spans="1:10">
      <c r="A1184" s="279" t="s">
        <v>3307</v>
      </c>
      <c r="B1184" s="41" t="s">
        <v>3308</v>
      </c>
      <c r="C1184" s="287">
        <v>49</v>
      </c>
      <c r="D1184" s="288">
        <f t="shared" si="248"/>
        <v>42</v>
      </c>
      <c r="E1184" s="287"/>
      <c r="F1184" s="287"/>
      <c r="G1184" s="287"/>
      <c r="H1184" s="287"/>
      <c r="I1184" s="302">
        <v>42</v>
      </c>
      <c r="J1184" s="303">
        <f t="shared" si="249"/>
        <v>85.71</v>
      </c>
    </row>
    <row r="1185" s="106" customFormat="1" ht="20.1" customHeight="1" spans="1:10">
      <c r="A1185" s="279" t="s">
        <v>3309</v>
      </c>
      <c r="B1185" s="41" t="s">
        <v>3310</v>
      </c>
      <c r="C1185" s="287"/>
      <c r="D1185" s="288">
        <f t="shared" si="248"/>
        <v>0</v>
      </c>
      <c r="E1185" s="287"/>
      <c r="F1185" s="287"/>
      <c r="G1185" s="287"/>
      <c r="H1185" s="287"/>
      <c r="I1185" s="302"/>
      <c r="J1185" s="303">
        <f t="shared" si="249"/>
        <v>0</v>
      </c>
    </row>
    <row r="1186" s="106" customFormat="1" ht="20.1" customHeight="1" spans="1:10">
      <c r="A1186" s="279" t="s">
        <v>3311</v>
      </c>
      <c r="B1186" s="41" t="s">
        <v>3312</v>
      </c>
      <c r="C1186" s="287"/>
      <c r="D1186" s="288">
        <f t="shared" si="248"/>
        <v>0</v>
      </c>
      <c r="E1186" s="287"/>
      <c r="F1186" s="287"/>
      <c r="G1186" s="287"/>
      <c r="H1186" s="287"/>
      <c r="I1186" s="302"/>
      <c r="J1186" s="303">
        <f t="shared" si="249"/>
        <v>0</v>
      </c>
    </row>
    <row r="1187" s="106" customFormat="1" ht="20.1" customHeight="1" spans="1:10">
      <c r="A1187" s="279" t="s">
        <v>3313</v>
      </c>
      <c r="B1187" s="41" t="s">
        <v>3314</v>
      </c>
      <c r="C1187" s="287"/>
      <c r="D1187" s="288">
        <f t="shared" si="248"/>
        <v>0</v>
      </c>
      <c r="E1187" s="287"/>
      <c r="F1187" s="287"/>
      <c r="G1187" s="287"/>
      <c r="H1187" s="287"/>
      <c r="I1187" s="302"/>
      <c r="J1187" s="303">
        <f t="shared" si="249"/>
        <v>0</v>
      </c>
    </row>
    <row r="1188" s="106" customFormat="1" ht="20.1" customHeight="1" spans="1:10">
      <c r="A1188" s="279" t="s">
        <v>3315</v>
      </c>
      <c r="B1188" s="41" t="s">
        <v>3316</v>
      </c>
      <c r="C1188" s="287"/>
      <c r="D1188" s="288">
        <f t="shared" si="248"/>
        <v>21</v>
      </c>
      <c r="E1188" s="287"/>
      <c r="F1188" s="287"/>
      <c r="G1188" s="287"/>
      <c r="H1188" s="287"/>
      <c r="I1188" s="302">
        <v>21</v>
      </c>
      <c r="J1188" s="303">
        <f t="shared" si="249"/>
        <v>100</v>
      </c>
    </row>
    <row r="1189" s="106" customFormat="1" ht="20.1" customHeight="1" spans="1:10">
      <c r="A1189" s="279" t="s">
        <v>3317</v>
      </c>
      <c r="B1189" s="41" t="s">
        <v>3318</v>
      </c>
      <c r="C1189" s="287">
        <v>5</v>
      </c>
      <c r="D1189" s="288">
        <f t="shared" si="248"/>
        <v>13</v>
      </c>
      <c r="E1189" s="287"/>
      <c r="F1189" s="287"/>
      <c r="G1189" s="287"/>
      <c r="H1189" s="287"/>
      <c r="I1189" s="302">
        <v>13</v>
      </c>
      <c r="J1189" s="303">
        <f t="shared" si="249"/>
        <v>260</v>
      </c>
    </row>
    <row r="1190" s="106" customFormat="1" ht="20.1" customHeight="1" spans="1:10">
      <c r="A1190" s="279" t="s">
        <v>3319</v>
      </c>
      <c r="B1190" s="41" t="s">
        <v>3320</v>
      </c>
      <c r="C1190" s="287"/>
      <c r="D1190" s="288">
        <f t="shared" si="248"/>
        <v>0</v>
      </c>
      <c r="E1190" s="287"/>
      <c r="F1190" s="287"/>
      <c r="G1190" s="287"/>
      <c r="H1190" s="287"/>
      <c r="I1190" s="302"/>
      <c r="J1190" s="303">
        <f t="shared" si="249"/>
        <v>0</v>
      </c>
    </row>
    <row r="1191" s="106" customFormat="1" ht="20.1" customHeight="1" spans="1:10">
      <c r="A1191" s="279" t="s">
        <v>3321</v>
      </c>
      <c r="B1191" s="41" t="s">
        <v>3322</v>
      </c>
      <c r="C1191" s="287"/>
      <c r="D1191" s="288">
        <f t="shared" si="248"/>
        <v>0</v>
      </c>
      <c r="E1191" s="287"/>
      <c r="F1191" s="287"/>
      <c r="G1191" s="287"/>
      <c r="H1191" s="287"/>
      <c r="I1191" s="302"/>
      <c r="J1191" s="303">
        <f t="shared" si="249"/>
        <v>0</v>
      </c>
    </row>
    <row r="1192" s="106" customFormat="1" ht="20.1" customHeight="1" spans="1:10">
      <c r="A1192" s="279" t="s">
        <v>3323</v>
      </c>
      <c r="B1192" s="41" t="s">
        <v>3324</v>
      </c>
      <c r="C1192" s="287"/>
      <c r="D1192" s="288">
        <f t="shared" si="248"/>
        <v>0</v>
      </c>
      <c r="E1192" s="287"/>
      <c r="F1192" s="287"/>
      <c r="G1192" s="287"/>
      <c r="H1192" s="287"/>
      <c r="I1192" s="302"/>
      <c r="J1192" s="303">
        <f t="shared" si="249"/>
        <v>0</v>
      </c>
    </row>
    <row r="1193" s="106" customFormat="1" ht="20.1" customHeight="1" spans="1:10">
      <c r="A1193" s="279" t="s">
        <v>3325</v>
      </c>
      <c r="B1193" s="41" t="s">
        <v>3326</v>
      </c>
      <c r="C1193" s="287"/>
      <c r="D1193" s="288">
        <f t="shared" si="248"/>
        <v>0</v>
      </c>
      <c r="E1193" s="287"/>
      <c r="F1193" s="287"/>
      <c r="G1193" s="287"/>
      <c r="H1193" s="287"/>
      <c r="I1193" s="302"/>
      <c r="J1193" s="303">
        <f t="shared" si="249"/>
        <v>0</v>
      </c>
    </row>
    <row r="1194" s="106" customFormat="1" ht="20.1" customHeight="1" spans="1:10">
      <c r="A1194" s="279" t="s">
        <v>3327</v>
      </c>
      <c r="B1194" s="41" t="s">
        <v>3328</v>
      </c>
      <c r="C1194" s="287"/>
      <c r="D1194" s="288">
        <f t="shared" si="248"/>
        <v>0</v>
      </c>
      <c r="E1194" s="287"/>
      <c r="F1194" s="287"/>
      <c r="G1194" s="287"/>
      <c r="H1194" s="287"/>
      <c r="I1194" s="302"/>
      <c r="J1194" s="303">
        <f t="shared" si="249"/>
        <v>0</v>
      </c>
    </row>
    <row r="1195" s="106" customFormat="1" ht="20.1" customHeight="1" spans="1:10">
      <c r="A1195" s="283" t="s">
        <v>826</v>
      </c>
      <c r="B1195" s="323" t="s">
        <v>3329</v>
      </c>
      <c r="C1195" s="285">
        <v>0</v>
      </c>
      <c r="D1195" s="285">
        <f t="shared" si="248"/>
        <v>0</v>
      </c>
      <c r="E1195" s="285"/>
      <c r="F1195" s="285"/>
      <c r="G1195" s="285">
        <f>VLOOKUP(A1195,[1]√表四、2025年公共财政支出变动表!$A$8:$S$221,18,FALSE)</f>
        <v>0</v>
      </c>
      <c r="H1195" s="285"/>
      <c r="I1195" s="285"/>
      <c r="J1195" s="324">
        <f t="shared" si="249"/>
        <v>0</v>
      </c>
    </row>
    <row r="1196" s="106" customFormat="1" ht="20.1" customHeight="1" spans="1:10">
      <c r="A1196" s="279" t="s">
        <v>3330</v>
      </c>
      <c r="B1196" s="289" t="s">
        <v>827</v>
      </c>
      <c r="C1196" s="287"/>
      <c r="D1196" s="287"/>
      <c r="E1196" s="287"/>
      <c r="F1196" s="287"/>
      <c r="G1196" s="287"/>
      <c r="H1196" s="287"/>
      <c r="I1196" s="287"/>
      <c r="J1196" s="236"/>
    </row>
    <row r="1197" s="106" customFormat="1" ht="20.1" customHeight="1" spans="1:10">
      <c r="A1197" s="280" t="s">
        <v>828</v>
      </c>
      <c r="B1197" s="281" t="s">
        <v>829</v>
      </c>
      <c r="C1197" s="282">
        <f t="shared" ref="C1197:I1197" si="251">C1198+C1208+C1212</f>
        <v>8436</v>
      </c>
      <c r="D1197" s="282">
        <f t="shared" ref="D1197:D1258" si="252">SUM(E1197:I1197)</f>
        <v>10954</v>
      </c>
      <c r="E1197" s="282">
        <f t="shared" si="251"/>
        <v>483</v>
      </c>
      <c r="F1197" s="282">
        <f t="shared" si="251"/>
        <v>0</v>
      </c>
      <c r="G1197" s="282">
        <f t="shared" si="251"/>
        <v>359</v>
      </c>
      <c r="H1197" s="282">
        <f t="shared" si="251"/>
        <v>0</v>
      </c>
      <c r="I1197" s="282">
        <f t="shared" si="251"/>
        <v>10112</v>
      </c>
      <c r="J1197" s="296">
        <f t="shared" ref="J1197:J1203" si="253">ROUND(IF(C1197=0,IF(D1197=0,0,1),IF(D1197=0,-1,D1197/C1197)),4)*100</f>
        <v>129.85</v>
      </c>
    </row>
    <row r="1198" s="106" customFormat="1" ht="20.1" customHeight="1" spans="1:10">
      <c r="A1198" s="283" t="s">
        <v>830</v>
      </c>
      <c r="B1198" s="323" t="s">
        <v>3331</v>
      </c>
      <c r="C1198" s="285">
        <f t="shared" ref="C1198:I1198" si="254">SUM(C1199:C1207)</f>
        <v>790</v>
      </c>
      <c r="D1198" s="285">
        <f t="shared" si="252"/>
        <v>842</v>
      </c>
      <c r="E1198" s="285">
        <f t="shared" si="254"/>
        <v>483</v>
      </c>
      <c r="F1198" s="285">
        <f t="shared" si="254"/>
        <v>0</v>
      </c>
      <c r="G1198" s="285">
        <f t="shared" si="254"/>
        <v>359</v>
      </c>
      <c r="H1198" s="285">
        <f t="shared" si="254"/>
        <v>0</v>
      </c>
      <c r="I1198" s="285">
        <f t="shared" si="254"/>
        <v>0</v>
      </c>
      <c r="J1198" s="324">
        <f t="shared" si="253"/>
        <v>106.58</v>
      </c>
    </row>
    <row r="1199" s="107" customFormat="1" ht="20.1" customHeight="1" spans="1:10">
      <c r="A1199" s="279" t="s">
        <v>3332</v>
      </c>
      <c r="B1199" s="41" t="s">
        <v>3333</v>
      </c>
      <c r="C1199" s="287"/>
      <c r="D1199" s="288">
        <f t="shared" si="252"/>
        <v>0</v>
      </c>
      <c r="E1199" s="287"/>
      <c r="F1199" s="287"/>
      <c r="G1199" s="287"/>
      <c r="H1199" s="287"/>
      <c r="I1199" s="302"/>
      <c r="J1199" s="303">
        <f t="shared" si="253"/>
        <v>0</v>
      </c>
    </row>
    <row r="1200" s="106" customFormat="1" ht="20.1" customHeight="1" spans="1:10">
      <c r="A1200" s="279" t="s">
        <v>3334</v>
      </c>
      <c r="B1200" s="41" t="s">
        <v>3335</v>
      </c>
      <c r="C1200" s="287"/>
      <c r="D1200" s="288">
        <f t="shared" si="252"/>
        <v>0</v>
      </c>
      <c r="E1200" s="287"/>
      <c r="F1200" s="287"/>
      <c r="G1200" s="287"/>
      <c r="H1200" s="287"/>
      <c r="I1200" s="302"/>
      <c r="J1200" s="303">
        <f t="shared" si="253"/>
        <v>0</v>
      </c>
    </row>
    <row r="1201" s="107" customFormat="1" ht="20.1" customHeight="1" spans="1:10">
      <c r="A1201" s="279" t="s">
        <v>3336</v>
      </c>
      <c r="B1201" s="41" t="s">
        <v>3337</v>
      </c>
      <c r="C1201" s="287"/>
      <c r="D1201" s="288">
        <f t="shared" si="252"/>
        <v>0</v>
      </c>
      <c r="E1201" s="287"/>
      <c r="F1201" s="287"/>
      <c r="G1201" s="287"/>
      <c r="H1201" s="287"/>
      <c r="I1201" s="302"/>
      <c r="J1201" s="303">
        <f t="shared" si="253"/>
        <v>0</v>
      </c>
    </row>
    <row r="1202" s="107" customFormat="1" ht="20.1" customHeight="1" spans="1:10">
      <c r="A1202" s="279" t="s">
        <v>3338</v>
      </c>
      <c r="B1202" s="41" t="s">
        <v>3339</v>
      </c>
      <c r="C1202" s="287">
        <v>387</v>
      </c>
      <c r="D1202" s="288">
        <f t="shared" si="252"/>
        <v>254</v>
      </c>
      <c r="E1202" s="287">
        <v>254</v>
      </c>
      <c r="F1202" s="287"/>
      <c r="G1202" s="287"/>
      <c r="H1202" s="287"/>
      <c r="I1202" s="302"/>
      <c r="J1202" s="303">
        <f t="shared" si="253"/>
        <v>65.63</v>
      </c>
    </row>
    <row r="1203" s="106" customFormat="1" ht="20.1" customHeight="1" spans="1:10">
      <c r="A1203" s="690" t="s">
        <v>3340</v>
      </c>
      <c r="B1203" s="691" t="s">
        <v>3341</v>
      </c>
      <c r="C1203" s="287">
        <v>400</v>
      </c>
      <c r="D1203" s="288">
        <f t="shared" si="252"/>
        <v>588</v>
      </c>
      <c r="E1203" s="287">
        <v>229</v>
      </c>
      <c r="F1203" s="287"/>
      <c r="G1203" s="287">
        <v>359</v>
      </c>
      <c r="H1203" s="287"/>
      <c r="I1203" s="302"/>
      <c r="J1203" s="303">
        <f t="shared" si="253"/>
        <v>147</v>
      </c>
    </row>
    <row r="1204" s="106" customFormat="1" ht="20.1" customHeight="1" spans="1:10">
      <c r="A1204" s="337" t="s">
        <v>3342</v>
      </c>
      <c r="B1204" s="41" t="s">
        <v>3343</v>
      </c>
      <c r="C1204" s="287"/>
      <c r="D1204" s="288">
        <f t="shared" si="252"/>
        <v>0</v>
      </c>
      <c r="E1204" s="287"/>
      <c r="F1204" s="287"/>
      <c r="G1204" s="287"/>
      <c r="H1204" s="287"/>
      <c r="I1204" s="302"/>
      <c r="J1204" s="303"/>
    </row>
    <row r="1205" s="106" customFormat="1" ht="20.1" customHeight="1" spans="1:10">
      <c r="A1205" s="337" t="s">
        <v>3344</v>
      </c>
      <c r="B1205" s="41" t="s">
        <v>3345</v>
      </c>
      <c r="C1205" s="287"/>
      <c r="D1205" s="288">
        <f t="shared" si="252"/>
        <v>0</v>
      </c>
      <c r="E1205" s="287"/>
      <c r="F1205" s="287"/>
      <c r="G1205" s="287"/>
      <c r="H1205" s="287"/>
      <c r="I1205" s="302"/>
      <c r="J1205" s="303"/>
    </row>
    <row r="1206" s="106" customFormat="1" ht="20.1" customHeight="1" spans="1:10">
      <c r="A1206" s="337" t="s">
        <v>3346</v>
      </c>
      <c r="B1206" s="691" t="s">
        <v>3347</v>
      </c>
      <c r="C1206" s="287"/>
      <c r="D1206" s="288">
        <f t="shared" si="252"/>
        <v>0</v>
      </c>
      <c r="E1206" s="287"/>
      <c r="F1206" s="287"/>
      <c r="G1206" s="287"/>
      <c r="H1206" s="287"/>
      <c r="I1206" s="302"/>
      <c r="J1206" s="303"/>
    </row>
    <row r="1207" s="106" customFormat="1" ht="20.1" customHeight="1" spans="1:10">
      <c r="A1207" s="279" t="s">
        <v>3348</v>
      </c>
      <c r="B1207" s="41" t="s">
        <v>3349</v>
      </c>
      <c r="C1207" s="287">
        <v>3</v>
      </c>
      <c r="D1207" s="288">
        <f t="shared" si="252"/>
        <v>0</v>
      </c>
      <c r="E1207" s="287"/>
      <c r="F1207" s="287"/>
      <c r="G1207" s="287"/>
      <c r="H1207" s="287"/>
      <c r="I1207" s="302"/>
      <c r="J1207" s="303">
        <f t="shared" ref="J1207:J1229" si="255">ROUND(IF(C1207=0,IF(D1207=0,0,1),IF(D1207=0,-1,D1207/C1207)),4)*100</f>
        <v>-100</v>
      </c>
    </row>
    <row r="1208" s="106" customFormat="1" ht="20.1" customHeight="1" spans="1:10">
      <c r="A1208" s="283" t="s">
        <v>832</v>
      </c>
      <c r="B1208" s="323" t="s">
        <v>3350</v>
      </c>
      <c r="C1208" s="285">
        <f t="shared" ref="C1208:I1208" si="256">SUM(C1209:C1211)</f>
        <v>7646</v>
      </c>
      <c r="D1208" s="285">
        <f t="shared" si="252"/>
        <v>10112</v>
      </c>
      <c r="E1208" s="285">
        <f t="shared" si="256"/>
        <v>0</v>
      </c>
      <c r="F1208" s="285">
        <f t="shared" si="256"/>
        <v>0</v>
      </c>
      <c r="G1208" s="285">
        <f t="shared" si="256"/>
        <v>0</v>
      </c>
      <c r="H1208" s="285">
        <f t="shared" si="256"/>
        <v>0</v>
      </c>
      <c r="I1208" s="285">
        <f t="shared" si="256"/>
        <v>10112</v>
      </c>
      <c r="J1208" s="324">
        <f t="shared" si="255"/>
        <v>132.25</v>
      </c>
    </row>
    <row r="1209" s="106" customFormat="1" ht="20.1" customHeight="1" spans="1:10">
      <c r="A1209" s="279" t="s">
        <v>3351</v>
      </c>
      <c r="B1209" s="41" t="s">
        <v>3352</v>
      </c>
      <c r="C1209" s="287">
        <v>7646</v>
      </c>
      <c r="D1209" s="288">
        <f t="shared" si="252"/>
        <v>10112</v>
      </c>
      <c r="E1209" s="287"/>
      <c r="F1209" s="287"/>
      <c r="G1209" s="287"/>
      <c r="H1209" s="287"/>
      <c r="I1209" s="302">
        <v>10112</v>
      </c>
      <c r="J1209" s="303">
        <f t="shared" si="255"/>
        <v>132.25</v>
      </c>
    </row>
    <row r="1210" s="106" customFormat="1" ht="20.1" customHeight="1" spans="1:10">
      <c r="A1210" s="279" t="s">
        <v>3353</v>
      </c>
      <c r="B1210" s="41" t="s">
        <v>3354</v>
      </c>
      <c r="C1210" s="287">
        <v>0</v>
      </c>
      <c r="D1210" s="288">
        <f t="shared" si="252"/>
        <v>0</v>
      </c>
      <c r="E1210" s="287"/>
      <c r="F1210" s="287"/>
      <c r="G1210" s="287"/>
      <c r="H1210" s="287"/>
      <c r="I1210" s="302"/>
      <c r="J1210" s="303">
        <f t="shared" si="255"/>
        <v>0</v>
      </c>
    </row>
    <row r="1211" s="106" customFormat="1" ht="20.1" customHeight="1" spans="1:10">
      <c r="A1211" s="279" t="s">
        <v>3355</v>
      </c>
      <c r="B1211" s="41" t="s">
        <v>3356</v>
      </c>
      <c r="C1211" s="287">
        <v>0</v>
      </c>
      <c r="D1211" s="288">
        <f t="shared" si="252"/>
        <v>0</v>
      </c>
      <c r="E1211" s="287"/>
      <c r="F1211" s="287"/>
      <c r="G1211" s="287"/>
      <c r="H1211" s="287"/>
      <c r="I1211" s="302"/>
      <c r="J1211" s="303">
        <f t="shared" si="255"/>
        <v>0</v>
      </c>
    </row>
    <row r="1212" s="107" customFormat="1" ht="20.1" customHeight="1" spans="1:10">
      <c r="A1212" s="283" t="s">
        <v>834</v>
      </c>
      <c r="B1212" s="323" t="s">
        <v>3357</v>
      </c>
      <c r="C1212" s="285">
        <f t="shared" ref="C1212:I1212" si="257">SUM(C1213:C1215)</f>
        <v>0</v>
      </c>
      <c r="D1212" s="285">
        <f t="shared" si="252"/>
        <v>0</v>
      </c>
      <c r="E1212" s="285">
        <f t="shared" si="257"/>
        <v>0</v>
      </c>
      <c r="F1212" s="285">
        <f t="shared" si="257"/>
        <v>0</v>
      </c>
      <c r="G1212" s="285">
        <f t="shared" si="257"/>
        <v>0</v>
      </c>
      <c r="H1212" s="285">
        <f t="shared" si="257"/>
        <v>0</v>
      </c>
      <c r="I1212" s="285">
        <f t="shared" si="257"/>
        <v>0</v>
      </c>
      <c r="J1212" s="324">
        <f t="shared" si="255"/>
        <v>0</v>
      </c>
    </row>
    <row r="1213" s="106" customFormat="1" ht="20.1" customHeight="1" spans="1:10">
      <c r="A1213" s="279" t="s">
        <v>3358</v>
      </c>
      <c r="B1213" s="41" t="s">
        <v>3359</v>
      </c>
      <c r="C1213" s="287"/>
      <c r="D1213" s="288">
        <f t="shared" si="252"/>
        <v>0</v>
      </c>
      <c r="E1213" s="287"/>
      <c r="F1213" s="287"/>
      <c r="G1213" s="287"/>
      <c r="H1213" s="287"/>
      <c r="I1213" s="302"/>
      <c r="J1213" s="303">
        <f t="shared" si="255"/>
        <v>0</v>
      </c>
    </row>
    <row r="1214" s="106" customFormat="1" ht="20.1" customHeight="1" spans="1:10">
      <c r="A1214" s="279" t="s">
        <v>3360</v>
      </c>
      <c r="B1214" s="41" t="s">
        <v>3361</v>
      </c>
      <c r="C1214" s="287">
        <v>0</v>
      </c>
      <c r="D1214" s="288">
        <f t="shared" si="252"/>
        <v>0</v>
      </c>
      <c r="E1214" s="287"/>
      <c r="F1214" s="287"/>
      <c r="G1214" s="287"/>
      <c r="H1214" s="287"/>
      <c r="I1214" s="302"/>
      <c r="J1214" s="303">
        <f t="shared" si="255"/>
        <v>0</v>
      </c>
    </row>
    <row r="1215" s="106" customFormat="1" ht="20.1" customHeight="1" spans="1:10">
      <c r="A1215" s="279" t="s">
        <v>3362</v>
      </c>
      <c r="B1215" s="41" t="s">
        <v>3363</v>
      </c>
      <c r="C1215" s="287">
        <v>0</v>
      </c>
      <c r="D1215" s="288">
        <f t="shared" si="252"/>
        <v>0</v>
      </c>
      <c r="E1215" s="287"/>
      <c r="F1215" s="287"/>
      <c r="G1215" s="287"/>
      <c r="H1215" s="287"/>
      <c r="I1215" s="302"/>
      <c r="J1215" s="303">
        <f t="shared" si="255"/>
        <v>0</v>
      </c>
    </row>
    <row r="1216" s="107" customFormat="1" ht="20.1" customHeight="1" spans="1:10">
      <c r="A1216" s="280" t="s">
        <v>836</v>
      </c>
      <c r="B1216" s="281" t="s">
        <v>837</v>
      </c>
      <c r="C1216" s="282">
        <f t="shared" ref="C1216:I1216" si="258">C1217+C1235+C1242+C1248</f>
        <v>112</v>
      </c>
      <c r="D1216" s="282">
        <f t="shared" si="252"/>
        <v>121</v>
      </c>
      <c r="E1216" s="282">
        <f t="shared" si="258"/>
        <v>0</v>
      </c>
      <c r="F1216" s="282">
        <f t="shared" si="258"/>
        <v>0</v>
      </c>
      <c r="G1216" s="282">
        <f t="shared" si="258"/>
        <v>0</v>
      </c>
      <c r="H1216" s="282">
        <f t="shared" si="258"/>
        <v>0</v>
      </c>
      <c r="I1216" s="282">
        <f t="shared" si="258"/>
        <v>121</v>
      </c>
      <c r="J1216" s="296">
        <f t="shared" si="255"/>
        <v>108.04</v>
      </c>
    </row>
    <row r="1217" s="106" customFormat="1" ht="20.1" customHeight="1" spans="1:10">
      <c r="A1217" s="283" t="s">
        <v>838</v>
      </c>
      <c r="B1217" s="323" t="s">
        <v>3364</v>
      </c>
      <c r="C1217" s="285">
        <f t="shared" ref="C1217:I1217" si="259">SUM(C1218:C1234)</f>
        <v>112</v>
      </c>
      <c r="D1217" s="285">
        <f t="shared" si="252"/>
        <v>121</v>
      </c>
      <c r="E1217" s="285">
        <f t="shared" si="259"/>
        <v>0</v>
      </c>
      <c r="F1217" s="285">
        <f t="shared" si="259"/>
        <v>0</v>
      </c>
      <c r="G1217" s="285">
        <f t="shared" si="259"/>
        <v>0</v>
      </c>
      <c r="H1217" s="285">
        <f t="shared" si="259"/>
        <v>0</v>
      </c>
      <c r="I1217" s="285">
        <f t="shared" si="259"/>
        <v>121</v>
      </c>
      <c r="J1217" s="324">
        <f t="shared" si="255"/>
        <v>108.04</v>
      </c>
    </row>
    <row r="1218" s="106" customFormat="1" ht="20.1" customHeight="1" spans="1:10">
      <c r="A1218" s="279" t="s">
        <v>3365</v>
      </c>
      <c r="B1218" s="41" t="s">
        <v>1458</v>
      </c>
      <c r="C1218" s="287">
        <v>2</v>
      </c>
      <c r="D1218" s="288">
        <f t="shared" si="252"/>
        <v>0</v>
      </c>
      <c r="E1218" s="287"/>
      <c r="F1218" s="287"/>
      <c r="G1218" s="287"/>
      <c r="H1218" s="287"/>
      <c r="I1218" s="302"/>
      <c r="J1218" s="303">
        <f t="shared" si="255"/>
        <v>-100</v>
      </c>
    </row>
    <row r="1219" s="106" customFormat="1" ht="20.1" customHeight="1" spans="1:10">
      <c r="A1219" s="279" t="s">
        <v>3366</v>
      </c>
      <c r="B1219" s="41" t="s">
        <v>1460</v>
      </c>
      <c r="C1219" s="287"/>
      <c r="D1219" s="288">
        <f t="shared" si="252"/>
        <v>0</v>
      </c>
      <c r="E1219" s="287"/>
      <c r="F1219" s="287"/>
      <c r="G1219" s="287"/>
      <c r="H1219" s="287"/>
      <c r="I1219" s="302"/>
      <c r="J1219" s="303">
        <f t="shared" si="255"/>
        <v>0</v>
      </c>
    </row>
    <row r="1220" s="107" customFormat="1" ht="20.1" customHeight="1" spans="1:10">
      <c r="A1220" s="279" t="s">
        <v>3367</v>
      </c>
      <c r="B1220" s="41" t="s">
        <v>1462</v>
      </c>
      <c r="C1220" s="287"/>
      <c r="D1220" s="288">
        <f t="shared" si="252"/>
        <v>0</v>
      </c>
      <c r="E1220" s="287"/>
      <c r="F1220" s="287"/>
      <c r="G1220" s="287"/>
      <c r="H1220" s="287"/>
      <c r="I1220" s="302"/>
      <c r="J1220" s="303">
        <f t="shared" si="255"/>
        <v>0</v>
      </c>
    </row>
    <row r="1221" s="107" customFormat="1" ht="20.1" customHeight="1" spans="1:10">
      <c r="A1221" s="279" t="s">
        <v>3368</v>
      </c>
      <c r="B1221" s="41" t="s">
        <v>3369</v>
      </c>
      <c r="C1221" s="287"/>
      <c r="D1221" s="288">
        <f t="shared" si="252"/>
        <v>0</v>
      </c>
      <c r="E1221" s="287"/>
      <c r="F1221" s="287"/>
      <c r="G1221" s="287"/>
      <c r="H1221" s="287"/>
      <c r="I1221" s="302"/>
      <c r="J1221" s="303">
        <f t="shared" si="255"/>
        <v>0</v>
      </c>
    </row>
    <row r="1222" s="106" customFormat="1" ht="20.1" customHeight="1" spans="1:10">
      <c r="A1222" s="279" t="s">
        <v>3370</v>
      </c>
      <c r="B1222" s="41" t="s">
        <v>3371</v>
      </c>
      <c r="C1222" s="287"/>
      <c r="D1222" s="288">
        <f t="shared" si="252"/>
        <v>0</v>
      </c>
      <c r="E1222" s="287"/>
      <c r="F1222" s="287"/>
      <c r="G1222" s="287"/>
      <c r="H1222" s="287"/>
      <c r="I1222" s="302"/>
      <c r="J1222" s="303">
        <f t="shared" si="255"/>
        <v>0</v>
      </c>
    </row>
    <row r="1223" s="106" customFormat="1" ht="20.1" customHeight="1" spans="1:10">
      <c r="A1223" s="279" t="s">
        <v>3372</v>
      </c>
      <c r="B1223" s="41" t="s">
        <v>3373</v>
      </c>
      <c r="C1223" s="287"/>
      <c r="D1223" s="288">
        <f t="shared" si="252"/>
        <v>0</v>
      </c>
      <c r="E1223" s="287"/>
      <c r="F1223" s="287"/>
      <c r="G1223" s="287"/>
      <c r="H1223" s="287"/>
      <c r="I1223" s="302"/>
      <c r="J1223" s="303">
        <f t="shared" si="255"/>
        <v>0</v>
      </c>
    </row>
    <row r="1224" s="106" customFormat="1" ht="20.1" customHeight="1" spans="1:10">
      <c r="A1224" s="279" t="s">
        <v>3374</v>
      </c>
      <c r="B1224" s="41" t="s">
        <v>3375</v>
      </c>
      <c r="C1224" s="287"/>
      <c r="D1224" s="288">
        <f t="shared" si="252"/>
        <v>0</v>
      </c>
      <c r="E1224" s="287"/>
      <c r="F1224" s="287"/>
      <c r="G1224" s="287"/>
      <c r="H1224" s="287"/>
      <c r="I1224" s="302"/>
      <c r="J1224" s="303">
        <f t="shared" si="255"/>
        <v>0</v>
      </c>
    </row>
    <row r="1225" s="106" customFormat="1" ht="20.1" customHeight="1" spans="1:10">
      <c r="A1225" s="279" t="s">
        <v>3376</v>
      </c>
      <c r="B1225" s="41" t="s">
        <v>3377</v>
      </c>
      <c r="C1225" s="287"/>
      <c r="D1225" s="288">
        <f t="shared" si="252"/>
        <v>0</v>
      </c>
      <c r="E1225" s="287"/>
      <c r="F1225" s="287"/>
      <c r="G1225" s="287"/>
      <c r="H1225" s="287"/>
      <c r="I1225" s="302"/>
      <c r="J1225" s="303">
        <f t="shared" si="255"/>
        <v>0</v>
      </c>
    </row>
    <row r="1226" s="106" customFormat="1" ht="20.1" customHeight="1" spans="1:10">
      <c r="A1226" s="279" t="s">
        <v>3378</v>
      </c>
      <c r="B1226" s="41" t="s">
        <v>3379</v>
      </c>
      <c r="C1226" s="287"/>
      <c r="D1226" s="288">
        <f t="shared" si="252"/>
        <v>0</v>
      </c>
      <c r="E1226" s="287"/>
      <c r="F1226" s="287"/>
      <c r="G1226" s="287"/>
      <c r="H1226" s="287"/>
      <c r="I1226" s="302"/>
      <c r="J1226" s="303">
        <f t="shared" si="255"/>
        <v>0</v>
      </c>
    </row>
    <row r="1227" s="106" customFormat="1" ht="20.1" customHeight="1" spans="1:10">
      <c r="A1227" s="279" t="s">
        <v>3380</v>
      </c>
      <c r="B1227" s="41" t="s">
        <v>3381</v>
      </c>
      <c r="C1227" s="287"/>
      <c r="D1227" s="288">
        <f t="shared" si="252"/>
        <v>0</v>
      </c>
      <c r="E1227" s="287"/>
      <c r="F1227" s="287"/>
      <c r="G1227" s="287"/>
      <c r="H1227" s="287"/>
      <c r="I1227" s="302"/>
      <c r="J1227" s="303">
        <f t="shared" si="255"/>
        <v>0</v>
      </c>
    </row>
    <row r="1228" s="106" customFormat="1" ht="20.1" customHeight="1" spans="1:10">
      <c r="A1228" s="279" t="s">
        <v>3382</v>
      </c>
      <c r="B1228" s="41" t="s">
        <v>3383</v>
      </c>
      <c r="C1228" s="287"/>
      <c r="D1228" s="288">
        <f t="shared" si="252"/>
        <v>0</v>
      </c>
      <c r="E1228" s="287"/>
      <c r="F1228" s="287"/>
      <c r="G1228" s="287"/>
      <c r="H1228" s="287"/>
      <c r="I1228" s="302"/>
      <c r="J1228" s="303">
        <f t="shared" si="255"/>
        <v>0</v>
      </c>
    </row>
    <row r="1229" s="106" customFormat="1" ht="20.1" customHeight="1" spans="1:10">
      <c r="A1229" s="279" t="s">
        <v>3384</v>
      </c>
      <c r="B1229" s="41" t="s">
        <v>3385</v>
      </c>
      <c r="C1229" s="287"/>
      <c r="D1229" s="288">
        <f t="shared" si="252"/>
        <v>0</v>
      </c>
      <c r="E1229" s="287"/>
      <c r="F1229" s="287"/>
      <c r="G1229" s="287"/>
      <c r="H1229" s="287"/>
      <c r="I1229" s="302"/>
      <c r="J1229" s="303">
        <f t="shared" si="255"/>
        <v>0</v>
      </c>
    </row>
    <row r="1230" s="106" customFormat="1" ht="20.1" customHeight="1" spans="1:10">
      <c r="A1230" s="279" t="s">
        <v>3386</v>
      </c>
      <c r="B1230" s="41" t="s">
        <v>3387</v>
      </c>
      <c r="C1230" s="287"/>
      <c r="D1230" s="288">
        <f t="shared" si="252"/>
        <v>0</v>
      </c>
      <c r="E1230" s="287"/>
      <c r="F1230" s="287"/>
      <c r="G1230" s="287"/>
      <c r="H1230" s="287"/>
      <c r="I1230" s="302"/>
      <c r="J1230" s="303"/>
    </row>
    <row r="1231" s="106" customFormat="1" ht="20.1" customHeight="1" spans="1:10">
      <c r="A1231" s="279" t="s">
        <v>3388</v>
      </c>
      <c r="B1231" s="41" t="s">
        <v>3389</v>
      </c>
      <c r="C1231" s="287"/>
      <c r="D1231" s="288">
        <f t="shared" si="252"/>
        <v>0</v>
      </c>
      <c r="E1231" s="287"/>
      <c r="F1231" s="287"/>
      <c r="G1231" s="287"/>
      <c r="H1231" s="287"/>
      <c r="I1231" s="302"/>
      <c r="J1231" s="303"/>
    </row>
    <row r="1232" s="106" customFormat="1" ht="20.1" customHeight="1" spans="1:10">
      <c r="A1232" s="279" t="s">
        <v>3390</v>
      </c>
      <c r="B1232" s="41" t="s">
        <v>3391</v>
      </c>
      <c r="C1232" s="287"/>
      <c r="D1232" s="288">
        <f t="shared" si="252"/>
        <v>0</v>
      </c>
      <c r="E1232" s="287"/>
      <c r="F1232" s="287"/>
      <c r="G1232" s="287"/>
      <c r="H1232" s="287"/>
      <c r="I1232" s="302"/>
      <c r="J1232" s="303"/>
    </row>
    <row r="1233" s="106" customFormat="1" ht="20.1" customHeight="1" spans="1:10">
      <c r="A1233" s="279" t="s">
        <v>3392</v>
      </c>
      <c r="B1233" s="41" t="s">
        <v>1476</v>
      </c>
      <c r="C1233" s="287">
        <v>110</v>
      </c>
      <c r="D1233" s="288">
        <f t="shared" si="252"/>
        <v>121</v>
      </c>
      <c r="E1233" s="287"/>
      <c r="F1233" s="287"/>
      <c r="G1233" s="287"/>
      <c r="H1233" s="287"/>
      <c r="I1233" s="302">
        <v>121</v>
      </c>
      <c r="J1233" s="303">
        <f t="shared" ref="J1233:J1238" si="260">ROUND(IF(C1233=0,IF(D1233=0,0,1),IF(D1233=0,-1,D1233/C1233)),4)*100</f>
        <v>110</v>
      </c>
    </row>
    <row r="1234" s="106" customFormat="1" ht="20.1" customHeight="1" spans="1:10">
      <c r="A1234" s="279" t="s">
        <v>3393</v>
      </c>
      <c r="B1234" s="41" t="s">
        <v>3394</v>
      </c>
      <c r="C1234" s="287"/>
      <c r="D1234" s="288">
        <f t="shared" si="252"/>
        <v>0</v>
      </c>
      <c r="E1234" s="287"/>
      <c r="F1234" s="287"/>
      <c r="G1234" s="287"/>
      <c r="H1234" s="287"/>
      <c r="I1234" s="302"/>
      <c r="J1234" s="303">
        <f t="shared" si="260"/>
        <v>0</v>
      </c>
    </row>
    <row r="1235" s="106" customFormat="1" ht="20.1" customHeight="1" spans="1:10">
      <c r="A1235" s="283" t="s">
        <v>840</v>
      </c>
      <c r="B1235" s="323" t="s">
        <v>3395</v>
      </c>
      <c r="C1235" s="285">
        <f t="shared" ref="C1235:I1235" si="261">SUM(C1236:C1241)</f>
        <v>0</v>
      </c>
      <c r="D1235" s="285">
        <f t="shared" si="252"/>
        <v>0</v>
      </c>
      <c r="E1235" s="285">
        <f t="shared" si="261"/>
        <v>0</v>
      </c>
      <c r="F1235" s="285">
        <f t="shared" si="261"/>
        <v>0</v>
      </c>
      <c r="G1235" s="285">
        <f t="shared" si="261"/>
        <v>0</v>
      </c>
      <c r="H1235" s="285">
        <f t="shared" si="261"/>
        <v>0</v>
      </c>
      <c r="I1235" s="285">
        <f t="shared" si="261"/>
        <v>0</v>
      </c>
      <c r="J1235" s="324">
        <f t="shared" si="260"/>
        <v>0</v>
      </c>
    </row>
    <row r="1236" s="106" customFormat="1" ht="20.1" customHeight="1" spans="1:10">
      <c r="A1236" s="279" t="s">
        <v>3396</v>
      </c>
      <c r="B1236" s="41" t="s">
        <v>3397</v>
      </c>
      <c r="C1236" s="287">
        <v>0</v>
      </c>
      <c r="D1236" s="288">
        <f t="shared" si="252"/>
        <v>0</v>
      </c>
      <c r="E1236" s="287"/>
      <c r="F1236" s="287"/>
      <c r="G1236" s="287"/>
      <c r="H1236" s="287"/>
      <c r="I1236" s="302"/>
      <c r="J1236" s="303">
        <f t="shared" si="260"/>
        <v>0</v>
      </c>
    </row>
    <row r="1237" s="106" customFormat="1" ht="20.1" customHeight="1" spans="1:10">
      <c r="A1237" s="279" t="s">
        <v>3398</v>
      </c>
      <c r="B1237" s="41" t="s">
        <v>3399</v>
      </c>
      <c r="C1237" s="287">
        <v>0</v>
      </c>
      <c r="D1237" s="288">
        <f t="shared" si="252"/>
        <v>0</v>
      </c>
      <c r="E1237" s="287"/>
      <c r="F1237" s="287"/>
      <c r="G1237" s="287"/>
      <c r="H1237" s="287"/>
      <c r="I1237" s="302"/>
      <c r="J1237" s="303">
        <f t="shared" si="260"/>
        <v>0</v>
      </c>
    </row>
    <row r="1238" s="106" customFormat="1" ht="20.1" customHeight="1" spans="1:10">
      <c r="A1238" s="279" t="s">
        <v>3400</v>
      </c>
      <c r="B1238" s="41" t="s">
        <v>3401</v>
      </c>
      <c r="C1238" s="287">
        <v>0</v>
      </c>
      <c r="D1238" s="288">
        <f t="shared" si="252"/>
        <v>0</v>
      </c>
      <c r="E1238" s="287"/>
      <c r="F1238" s="287"/>
      <c r="G1238" s="287"/>
      <c r="H1238" s="287"/>
      <c r="I1238" s="302"/>
      <c r="J1238" s="303">
        <f t="shared" si="260"/>
        <v>0</v>
      </c>
    </row>
    <row r="1239" s="107" customFormat="1" ht="20.1" customHeight="1" spans="1:10">
      <c r="A1239" s="279" t="s">
        <v>3402</v>
      </c>
      <c r="B1239" s="41" t="s">
        <v>3403</v>
      </c>
      <c r="C1239" s="287"/>
      <c r="D1239" s="288">
        <f t="shared" si="252"/>
        <v>0</v>
      </c>
      <c r="E1239" s="287"/>
      <c r="F1239" s="287"/>
      <c r="G1239" s="287"/>
      <c r="H1239" s="287"/>
      <c r="I1239" s="302"/>
      <c r="J1239" s="303"/>
    </row>
    <row r="1240" s="106" customFormat="1" ht="20.1" customHeight="1" spans="1:10">
      <c r="A1240" s="279" t="s">
        <v>3404</v>
      </c>
      <c r="B1240" s="41" t="s">
        <v>3405</v>
      </c>
      <c r="C1240" s="287"/>
      <c r="D1240" s="288">
        <f t="shared" si="252"/>
        <v>0</v>
      </c>
      <c r="E1240" s="287"/>
      <c r="F1240" s="287"/>
      <c r="G1240" s="287"/>
      <c r="H1240" s="287"/>
      <c r="I1240" s="302"/>
      <c r="J1240" s="303"/>
    </row>
    <row r="1241" s="106" customFormat="1" ht="20.1" customHeight="1" spans="1:10">
      <c r="A1241" s="279" t="s">
        <v>3406</v>
      </c>
      <c r="B1241" s="41" t="s">
        <v>3407</v>
      </c>
      <c r="C1241" s="287">
        <v>0</v>
      </c>
      <c r="D1241" s="288">
        <f t="shared" si="252"/>
        <v>0</v>
      </c>
      <c r="E1241" s="287"/>
      <c r="F1241" s="287"/>
      <c r="G1241" s="287"/>
      <c r="H1241" s="287"/>
      <c r="I1241" s="302"/>
      <c r="J1241" s="303">
        <f t="shared" ref="J1241:J1258" si="262">ROUND(IF(C1241=0,IF(D1241=0,0,1),IF(D1241=0,-1,D1241/C1241)),4)*100</f>
        <v>0</v>
      </c>
    </row>
    <row r="1242" s="106" customFormat="1" ht="20.1" customHeight="1" spans="1:10">
      <c r="A1242" s="283" t="s">
        <v>842</v>
      </c>
      <c r="B1242" s="323" t="s">
        <v>3408</v>
      </c>
      <c r="C1242" s="285">
        <f t="shared" ref="C1242:I1242" si="263">SUM(C1243:C1247)</f>
        <v>0</v>
      </c>
      <c r="D1242" s="285">
        <f t="shared" si="252"/>
        <v>0</v>
      </c>
      <c r="E1242" s="285">
        <f t="shared" si="263"/>
        <v>0</v>
      </c>
      <c r="F1242" s="285">
        <f t="shared" si="263"/>
        <v>0</v>
      </c>
      <c r="G1242" s="285">
        <f t="shared" si="263"/>
        <v>0</v>
      </c>
      <c r="H1242" s="285">
        <f t="shared" si="263"/>
        <v>0</v>
      </c>
      <c r="I1242" s="285">
        <f t="shared" si="263"/>
        <v>0</v>
      </c>
      <c r="J1242" s="324">
        <f t="shared" si="262"/>
        <v>0</v>
      </c>
    </row>
    <row r="1243" s="106" customFormat="1" ht="20.1" customHeight="1" spans="1:10">
      <c r="A1243" s="279" t="s">
        <v>3409</v>
      </c>
      <c r="B1243" s="41" t="s">
        <v>3410</v>
      </c>
      <c r="C1243" s="287">
        <v>0</v>
      </c>
      <c r="D1243" s="288">
        <f t="shared" si="252"/>
        <v>0</v>
      </c>
      <c r="E1243" s="287"/>
      <c r="F1243" s="287"/>
      <c r="G1243" s="287"/>
      <c r="H1243" s="287"/>
      <c r="I1243" s="302"/>
      <c r="J1243" s="303">
        <f t="shared" si="262"/>
        <v>0</v>
      </c>
    </row>
    <row r="1244" s="106" customFormat="1" ht="20.1" customHeight="1" spans="1:10">
      <c r="A1244" s="279" t="s">
        <v>3411</v>
      </c>
      <c r="B1244" s="41" t="s">
        <v>3412</v>
      </c>
      <c r="C1244" s="287">
        <v>0</v>
      </c>
      <c r="D1244" s="288">
        <f t="shared" si="252"/>
        <v>0</v>
      </c>
      <c r="E1244" s="287"/>
      <c r="F1244" s="287"/>
      <c r="G1244" s="287"/>
      <c r="H1244" s="287"/>
      <c r="I1244" s="302"/>
      <c r="J1244" s="303">
        <f t="shared" si="262"/>
        <v>0</v>
      </c>
    </row>
    <row r="1245" s="106" customFormat="1" ht="20.1" customHeight="1" spans="1:10">
      <c r="A1245" s="279" t="s">
        <v>3413</v>
      </c>
      <c r="B1245" s="41" t="s">
        <v>3414</v>
      </c>
      <c r="C1245" s="287"/>
      <c r="D1245" s="288">
        <f t="shared" si="252"/>
        <v>0</v>
      </c>
      <c r="E1245" s="287"/>
      <c r="F1245" s="287"/>
      <c r="G1245" s="287"/>
      <c r="H1245" s="287"/>
      <c r="I1245" s="302"/>
      <c r="J1245" s="303">
        <f t="shared" si="262"/>
        <v>0</v>
      </c>
    </row>
    <row r="1246" s="107" customFormat="1" ht="20.1" customHeight="1" spans="1:10">
      <c r="A1246" s="279" t="s">
        <v>3415</v>
      </c>
      <c r="B1246" s="41" t="s">
        <v>3416</v>
      </c>
      <c r="C1246" s="287">
        <v>0</v>
      </c>
      <c r="D1246" s="288">
        <f t="shared" si="252"/>
        <v>0</v>
      </c>
      <c r="E1246" s="287"/>
      <c r="F1246" s="287"/>
      <c r="G1246" s="287"/>
      <c r="H1246" s="287"/>
      <c r="I1246" s="302"/>
      <c r="J1246" s="303">
        <f t="shared" si="262"/>
        <v>0</v>
      </c>
    </row>
    <row r="1247" s="106" customFormat="1" ht="20.1" customHeight="1" spans="1:10">
      <c r="A1247" s="279" t="s">
        <v>3417</v>
      </c>
      <c r="B1247" s="41" t="s">
        <v>3418</v>
      </c>
      <c r="C1247" s="287">
        <v>0</v>
      </c>
      <c r="D1247" s="288">
        <f t="shared" si="252"/>
        <v>0</v>
      </c>
      <c r="E1247" s="287"/>
      <c r="F1247" s="287"/>
      <c r="G1247" s="287"/>
      <c r="H1247" s="287"/>
      <c r="I1247" s="302"/>
      <c r="J1247" s="303">
        <f t="shared" si="262"/>
        <v>0</v>
      </c>
    </row>
    <row r="1248" s="106" customFormat="1" ht="20.1" customHeight="1" spans="1:10">
      <c r="A1248" s="283" t="s">
        <v>844</v>
      </c>
      <c r="B1248" s="323" t="s">
        <v>3419</v>
      </c>
      <c r="C1248" s="285">
        <f t="shared" ref="C1248:I1248" si="264">SUM(C1249:C1260)</f>
        <v>0</v>
      </c>
      <c r="D1248" s="285">
        <f t="shared" si="252"/>
        <v>0</v>
      </c>
      <c r="E1248" s="285">
        <f t="shared" si="264"/>
        <v>0</v>
      </c>
      <c r="F1248" s="285">
        <f t="shared" si="264"/>
        <v>0</v>
      </c>
      <c r="G1248" s="285">
        <f t="shared" si="264"/>
        <v>0</v>
      </c>
      <c r="H1248" s="285">
        <f t="shared" si="264"/>
        <v>0</v>
      </c>
      <c r="I1248" s="285">
        <f t="shared" si="264"/>
        <v>0</v>
      </c>
      <c r="J1248" s="324">
        <f t="shared" si="262"/>
        <v>0</v>
      </c>
    </row>
    <row r="1249" s="106" customFormat="1" ht="20.1" customHeight="1" spans="1:10">
      <c r="A1249" s="279" t="s">
        <v>3420</v>
      </c>
      <c r="B1249" s="41" t="s">
        <v>3421</v>
      </c>
      <c r="C1249" s="287">
        <v>0</v>
      </c>
      <c r="D1249" s="288">
        <f t="shared" si="252"/>
        <v>0</v>
      </c>
      <c r="E1249" s="287"/>
      <c r="F1249" s="287"/>
      <c r="G1249" s="287"/>
      <c r="H1249" s="287"/>
      <c r="I1249" s="302"/>
      <c r="J1249" s="303">
        <f t="shared" si="262"/>
        <v>0</v>
      </c>
    </row>
    <row r="1250" s="106" customFormat="1" ht="20.1" customHeight="1" spans="1:10">
      <c r="A1250" s="279" t="s">
        <v>3422</v>
      </c>
      <c r="B1250" s="41" t="s">
        <v>3423</v>
      </c>
      <c r="C1250" s="287">
        <v>0</v>
      </c>
      <c r="D1250" s="288">
        <f t="shared" si="252"/>
        <v>0</v>
      </c>
      <c r="E1250" s="287"/>
      <c r="F1250" s="287"/>
      <c r="G1250" s="287"/>
      <c r="H1250" s="287"/>
      <c r="I1250" s="302"/>
      <c r="J1250" s="303">
        <f t="shared" si="262"/>
        <v>0</v>
      </c>
    </row>
    <row r="1251" s="106" customFormat="1" ht="20.1" customHeight="1" spans="1:10">
      <c r="A1251" s="279" t="s">
        <v>3424</v>
      </c>
      <c r="B1251" s="41" t="s">
        <v>3425</v>
      </c>
      <c r="C1251" s="287">
        <v>0</v>
      </c>
      <c r="D1251" s="288">
        <f t="shared" si="252"/>
        <v>0</v>
      </c>
      <c r="E1251" s="287"/>
      <c r="F1251" s="287"/>
      <c r="G1251" s="287"/>
      <c r="H1251" s="287"/>
      <c r="I1251" s="302"/>
      <c r="J1251" s="303">
        <f t="shared" si="262"/>
        <v>0</v>
      </c>
    </row>
    <row r="1252" s="107" customFormat="1" ht="20.1" customHeight="1" spans="1:10">
      <c r="A1252" s="279" t="s">
        <v>3426</v>
      </c>
      <c r="B1252" s="41" t="s">
        <v>3427</v>
      </c>
      <c r="C1252" s="287">
        <v>0</v>
      </c>
      <c r="D1252" s="288">
        <f t="shared" si="252"/>
        <v>0</v>
      </c>
      <c r="E1252" s="287"/>
      <c r="F1252" s="287"/>
      <c r="G1252" s="287"/>
      <c r="H1252" s="287"/>
      <c r="I1252" s="302"/>
      <c r="J1252" s="303">
        <f t="shared" si="262"/>
        <v>0</v>
      </c>
    </row>
    <row r="1253" s="106" customFormat="1" ht="20.1" customHeight="1" spans="1:10">
      <c r="A1253" s="279" t="s">
        <v>3428</v>
      </c>
      <c r="B1253" s="41" t="s">
        <v>3429</v>
      </c>
      <c r="C1253" s="287">
        <v>0</v>
      </c>
      <c r="D1253" s="288">
        <f t="shared" si="252"/>
        <v>0</v>
      </c>
      <c r="E1253" s="287"/>
      <c r="F1253" s="287"/>
      <c r="G1253" s="287"/>
      <c r="H1253" s="287"/>
      <c r="I1253" s="302"/>
      <c r="J1253" s="303">
        <f t="shared" si="262"/>
        <v>0</v>
      </c>
    </row>
    <row r="1254" s="106" customFormat="1" ht="20.1" customHeight="1" spans="1:10">
      <c r="A1254" s="279" t="s">
        <v>3430</v>
      </c>
      <c r="B1254" s="41" t="s">
        <v>3431</v>
      </c>
      <c r="C1254" s="287">
        <v>0</v>
      </c>
      <c r="D1254" s="288">
        <f t="shared" si="252"/>
        <v>0</v>
      </c>
      <c r="E1254" s="287"/>
      <c r="F1254" s="287"/>
      <c r="G1254" s="287"/>
      <c r="H1254" s="287"/>
      <c r="I1254" s="302"/>
      <c r="J1254" s="303">
        <f t="shared" si="262"/>
        <v>0</v>
      </c>
    </row>
    <row r="1255" s="106" customFormat="1" ht="20.1" customHeight="1" spans="1:10">
      <c r="A1255" s="279" t="s">
        <v>3432</v>
      </c>
      <c r="B1255" s="41" t="s">
        <v>3433</v>
      </c>
      <c r="C1255" s="287">
        <v>0</v>
      </c>
      <c r="D1255" s="288">
        <f t="shared" si="252"/>
        <v>0</v>
      </c>
      <c r="E1255" s="287"/>
      <c r="F1255" s="287"/>
      <c r="G1255" s="287"/>
      <c r="H1255" s="287"/>
      <c r="I1255" s="302"/>
      <c r="J1255" s="303">
        <f t="shared" si="262"/>
        <v>0</v>
      </c>
    </row>
    <row r="1256" s="106" customFormat="1" ht="20.1" customHeight="1" spans="1:10">
      <c r="A1256" s="279" t="s">
        <v>3434</v>
      </c>
      <c r="B1256" s="41" t="s">
        <v>3435</v>
      </c>
      <c r="C1256" s="287">
        <v>0</v>
      </c>
      <c r="D1256" s="288">
        <f t="shared" si="252"/>
        <v>0</v>
      </c>
      <c r="E1256" s="287"/>
      <c r="F1256" s="287"/>
      <c r="G1256" s="287"/>
      <c r="H1256" s="287"/>
      <c r="I1256" s="302"/>
      <c r="J1256" s="303">
        <f t="shared" si="262"/>
        <v>0</v>
      </c>
    </row>
    <row r="1257" s="106" customFormat="1" ht="20.1" customHeight="1" spans="1:10">
      <c r="A1257" s="279" t="s">
        <v>3436</v>
      </c>
      <c r="B1257" s="41" t="s">
        <v>3437</v>
      </c>
      <c r="C1257" s="287">
        <v>0</v>
      </c>
      <c r="D1257" s="288">
        <f t="shared" si="252"/>
        <v>0</v>
      </c>
      <c r="E1257" s="287"/>
      <c r="F1257" s="287"/>
      <c r="G1257" s="287"/>
      <c r="H1257" s="287"/>
      <c r="I1257" s="302"/>
      <c r="J1257" s="303">
        <f t="shared" si="262"/>
        <v>0</v>
      </c>
    </row>
    <row r="1258" s="106" customFormat="1" ht="20.1" customHeight="1" spans="1:10">
      <c r="A1258" s="279" t="s">
        <v>3438</v>
      </c>
      <c r="B1258" s="41" t="s">
        <v>3439</v>
      </c>
      <c r="C1258" s="287">
        <v>0</v>
      </c>
      <c r="D1258" s="288">
        <f t="shared" si="252"/>
        <v>0</v>
      </c>
      <c r="E1258" s="287"/>
      <c r="F1258" s="287"/>
      <c r="G1258" s="287"/>
      <c r="H1258" s="287"/>
      <c r="I1258" s="302"/>
      <c r="J1258" s="303">
        <f t="shared" si="262"/>
        <v>0</v>
      </c>
    </row>
    <row r="1259" s="106" customFormat="1" ht="20.1" customHeight="1" spans="1:10">
      <c r="A1259" s="279" t="s">
        <v>3319</v>
      </c>
      <c r="B1259" s="41" t="s">
        <v>3440</v>
      </c>
      <c r="C1259" s="287"/>
      <c r="D1259" s="288"/>
      <c r="E1259" s="287"/>
      <c r="F1259" s="287"/>
      <c r="G1259" s="287"/>
      <c r="H1259" s="287"/>
      <c r="I1259" s="302"/>
      <c r="J1259" s="303"/>
    </row>
    <row r="1260" s="106" customFormat="1" ht="20.1" customHeight="1" spans="1:10">
      <c r="A1260" s="279" t="s">
        <v>3441</v>
      </c>
      <c r="B1260" s="41" t="s">
        <v>3442</v>
      </c>
      <c r="C1260" s="287">
        <v>0</v>
      </c>
      <c r="D1260" s="288">
        <f t="shared" ref="D1260:D1315" si="265">SUM(E1260:I1260)</f>
        <v>0</v>
      </c>
      <c r="E1260" s="287"/>
      <c r="F1260" s="287"/>
      <c r="G1260" s="287"/>
      <c r="H1260" s="287"/>
      <c r="I1260" s="302"/>
      <c r="J1260" s="303">
        <f t="shared" ref="J1260:J1277" si="266">ROUND(IF(C1260=0,IF(D1260=0,0,1),IF(D1260=0,-1,D1260/C1260)),4)*100</f>
        <v>0</v>
      </c>
    </row>
    <row r="1261" s="106" customFormat="1" ht="20.1" customHeight="1" spans="1:10">
      <c r="A1261" s="280" t="s">
        <v>846</v>
      </c>
      <c r="B1261" s="281" t="s">
        <v>459</v>
      </c>
      <c r="C1261" s="282">
        <f t="shared" ref="C1261:I1261" si="267">C1262+C1273+C1280+C1288+C1301+C1305+C1309</f>
        <v>2480</v>
      </c>
      <c r="D1261" s="282">
        <f t="shared" si="265"/>
        <v>4357</v>
      </c>
      <c r="E1261" s="282">
        <f t="shared" si="267"/>
        <v>150</v>
      </c>
      <c r="F1261" s="282">
        <f t="shared" si="267"/>
        <v>1539</v>
      </c>
      <c r="G1261" s="282">
        <f t="shared" si="267"/>
        <v>1107</v>
      </c>
      <c r="H1261" s="282">
        <f t="shared" si="267"/>
        <v>0</v>
      </c>
      <c r="I1261" s="282">
        <f t="shared" si="267"/>
        <v>1561</v>
      </c>
      <c r="J1261" s="296">
        <f t="shared" si="266"/>
        <v>175.69</v>
      </c>
    </row>
    <row r="1262" s="106" customFormat="1" ht="20.1" customHeight="1" spans="1:10">
      <c r="A1262" s="283" t="s">
        <v>847</v>
      </c>
      <c r="B1262" s="323" t="s">
        <v>3443</v>
      </c>
      <c r="C1262" s="285">
        <f t="shared" ref="C1262:I1262" si="268">SUM(C1263:C1272)</f>
        <v>474</v>
      </c>
      <c r="D1262" s="285">
        <f t="shared" si="265"/>
        <v>749</v>
      </c>
      <c r="E1262" s="285">
        <f t="shared" si="268"/>
        <v>0</v>
      </c>
      <c r="F1262" s="285">
        <f t="shared" si="268"/>
        <v>300</v>
      </c>
      <c r="G1262" s="285">
        <f t="shared" si="268"/>
        <v>25</v>
      </c>
      <c r="H1262" s="285">
        <f t="shared" si="268"/>
        <v>0</v>
      </c>
      <c r="I1262" s="285">
        <f t="shared" si="268"/>
        <v>424</v>
      </c>
      <c r="J1262" s="324">
        <f t="shared" si="266"/>
        <v>158.02</v>
      </c>
    </row>
    <row r="1263" s="106" customFormat="1" ht="20.1" customHeight="1" spans="1:10">
      <c r="A1263" s="357" t="s">
        <v>3444</v>
      </c>
      <c r="B1263" s="41" t="s">
        <v>1458</v>
      </c>
      <c r="C1263" s="353">
        <v>349</v>
      </c>
      <c r="D1263" s="288">
        <f t="shared" si="265"/>
        <v>322</v>
      </c>
      <c r="E1263" s="287"/>
      <c r="F1263" s="287"/>
      <c r="G1263" s="287"/>
      <c r="H1263" s="287"/>
      <c r="I1263" s="302">
        <v>322</v>
      </c>
      <c r="J1263" s="303">
        <f t="shared" si="266"/>
        <v>92.26</v>
      </c>
    </row>
    <row r="1264" s="106" customFormat="1" ht="20.1" customHeight="1" spans="1:10">
      <c r="A1264" s="357" t="s">
        <v>3445</v>
      </c>
      <c r="B1264" s="41" t="s">
        <v>1460</v>
      </c>
      <c r="C1264" s="353">
        <v>85</v>
      </c>
      <c r="D1264" s="288">
        <f t="shared" si="265"/>
        <v>80</v>
      </c>
      <c r="E1264" s="287"/>
      <c r="F1264" s="287"/>
      <c r="G1264" s="287"/>
      <c r="H1264" s="287"/>
      <c r="I1264" s="302">
        <v>80</v>
      </c>
      <c r="J1264" s="303">
        <f t="shared" si="266"/>
        <v>94.12</v>
      </c>
    </row>
    <row r="1265" s="107" customFormat="1" ht="20.1" customHeight="1" spans="1:10">
      <c r="A1265" s="357" t="s">
        <v>3446</v>
      </c>
      <c r="B1265" s="41" t="s">
        <v>1462</v>
      </c>
      <c r="C1265" s="353"/>
      <c r="D1265" s="288">
        <f t="shared" si="265"/>
        <v>0</v>
      </c>
      <c r="E1265" s="287"/>
      <c r="F1265" s="287"/>
      <c r="G1265" s="287"/>
      <c r="H1265" s="287"/>
      <c r="I1265" s="302"/>
      <c r="J1265" s="303">
        <f t="shared" si="266"/>
        <v>0</v>
      </c>
    </row>
    <row r="1266" s="107" customFormat="1" ht="20.1" customHeight="1" spans="1:10">
      <c r="A1266" s="357" t="s">
        <v>3447</v>
      </c>
      <c r="B1266" s="41" t="s">
        <v>3448</v>
      </c>
      <c r="C1266" s="353"/>
      <c r="D1266" s="288">
        <f t="shared" si="265"/>
        <v>0</v>
      </c>
      <c r="E1266" s="287"/>
      <c r="F1266" s="287"/>
      <c r="G1266" s="287"/>
      <c r="H1266" s="287"/>
      <c r="I1266" s="302"/>
      <c r="J1266" s="303">
        <f t="shared" si="266"/>
        <v>0</v>
      </c>
    </row>
    <row r="1267" s="106" customFormat="1" ht="20.1" customHeight="1" spans="1:10">
      <c r="A1267" s="357" t="s">
        <v>3449</v>
      </c>
      <c r="B1267" s="41" t="s">
        <v>3450</v>
      </c>
      <c r="C1267" s="353"/>
      <c r="D1267" s="288">
        <f t="shared" si="265"/>
        <v>0</v>
      </c>
      <c r="E1267" s="287"/>
      <c r="F1267" s="287"/>
      <c r="G1267" s="287"/>
      <c r="H1267" s="287"/>
      <c r="I1267" s="302"/>
      <c r="J1267" s="303">
        <f t="shared" si="266"/>
        <v>0</v>
      </c>
    </row>
    <row r="1268" s="106" customFormat="1" ht="20.1" customHeight="1" spans="1:10">
      <c r="A1268" s="357" t="s">
        <v>3451</v>
      </c>
      <c r="B1268" s="41" t="s">
        <v>3452</v>
      </c>
      <c r="C1268" s="353">
        <v>10</v>
      </c>
      <c r="D1268" s="288">
        <f t="shared" si="265"/>
        <v>0</v>
      </c>
      <c r="E1268" s="287"/>
      <c r="F1268" s="287"/>
      <c r="G1268" s="287"/>
      <c r="H1268" s="287"/>
      <c r="I1268" s="302"/>
      <c r="J1268" s="303">
        <f t="shared" si="266"/>
        <v>-100</v>
      </c>
    </row>
    <row r="1269" s="106" customFormat="1" ht="20.1" customHeight="1" spans="1:10">
      <c r="A1269" s="357" t="s">
        <v>3453</v>
      </c>
      <c r="B1269" s="41" t="s">
        <v>3454</v>
      </c>
      <c r="C1269" s="353"/>
      <c r="D1269" s="288">
        <f t="shared" si="265"/>
        <v>0</v>
      </c>
      <c r="E1269" s="287"/>
      <c r="F1269" s="287"/>
      <c r="G1269" s="287"/>
      <c r="H1269" s="287"/>
      <c r="I1269" s="302"/>
      <c r="J1269" s="303">
        <f t="shared" si="266"/>
        <v>0</v>
      </c>
    </row>
    <row r="1270" s="106" customFormat="1" ht="20.1" customHeight="1" spans="1:10">
      <c r="A1270" s="357" t="s">
        <v>3455</v>
      </c>
      <c r="B1270" s="41" t="s">
        <v>3456</v>
      </c>
      <c r="C1270" s="353">
        <v>4</v>
      </c>
      <c r="D1270" s="288">
        <f t="shared" si="265"/>
        <v>11</v>
      </c>
      <c r="E1270" s="287"/>
      <c r="F1270" s="287"/>
      <c r="G1270" s="287"/>
      <c r="H1270" s="287"/>
      <c r="I1270" s="302">
        <v>11</v>
      </c>
      <c r="J1270" s="303">
        <f t="shared" si="266"/>
        <v>275</v>
      </c>
    </row>
    <row r="1271" s="106" customFormat="1" ht="20.1" customHeight="1" spans="1:10">
      <c r="A1271" s="357" t="s">
        <v>3457</v>
      </c>
      <c r="B1271" s="41" t="s">
        <v>1476</v>
      </c>
      <c r="C1271" s="353">
        <v>4</v>
      </c>
      <c r="D1271" s="288">
        <f t="shared" si="265"/>
        <v>7</v>
      </c>
      <c r="E1271" s="287"/>
      <c r="F1271" s="287"/>
      <c r="G1271" s="287"/>
      <c r="H1271" s="287"/>
      <c r="I1271" s="302">
        <v>7</v>
      </c>
      <c r="J1271" s="303">
        <f t="shared" si="266"/>
        <v>175</v>
      </c>
    </row>
    <row r="1272" s="106" customFormat="1" ht="20.1" customHeight="1" spans="1:10">
      <c r="A1272" s="357" t="s">
        <v>3458</v>
      </c>
      <c r="B1272" s="41" t="s">
        <v>3459</v>
      </c>
      <c r="C1272" s="353">
        <v>22</v>
      </c>
      <c r="D1272" s="288">
        <f t="shared" si="265"/>
        <v>329</v>
      </c>
      <c r="E1272" s="287"/>
      <c r="F1272" s="287">
        <v>300</v>
      </c>
      <c r="G1272" s="287">
        <v>25</v>
      </c>
      <c r="H1272" s="287"/>
      <c r="I1272" s="302">
        <v>4</v>
      </c>
      <c r="J1272" s="303">
        <f t="shared" si="266"/>
        <v>1495.45</v>
      </c>
    </row>
    <row r="1273" s="106" customFormat="1" ht="20.1" customHeight="1" spans="1:10">
      <c r="A1273" s="283" t="s">
        <v>848</v>
      </c>
      <c r="B1273" s="323" t="s">
        <v>3460</v>
      </c>
      <c r="C1273" s="285">
        <f t="shared" ref="C1273:I1273" si="269">SUM(C1274:C1279)</f>
        <v>961</v>
      </c>
      <c r="D1273" s="285">
        <f t="shared" si="265"/>
        <v>1287</v>
      </c>
      <c r="E1273" s="285">
        <f t="shared" si="269"/>
        <v>150</v>
      </c>
      <c r="F1273" s="285">
        <f t="shared" si="269"/>
        <v>0</v>
      </c>
      <c r="G1273" s="285">
        <f t="shared" si="269"/>
        <v>0</v>
      </c>
      <c r="H1273" s="285">
        <f t="shared" si="269"/>
        <v>0</v>
      </c>
      <c r="I1273" s="285">
        <f t="shared" si="269"/>
        <v>1137</v>
      </c>
      <c r="J1273" s="324">
        <f t="shared" si="266"/>
        <v>133.92</v>
      </c>
    </row>
    <row r="1274" s="106" customFormat="1" ht="20.1" customHeight="1" spans="1:10">
      <c r="A1274" s="357" t="s">
        <v>3461</v>
      </c>
      <c r="B1274" s="41" t="s">
        <v>1458</v>
      </c>
      <c r="C1274" s="287">
        <v>40</v>
      </c>
      <c r="D1274" s="288">
        <f t="shared" si="265"/>
        <v>0</v>
      </c>
      <c r="E1274" s="287"/>
      <c r="F1274" s="287"/>
      <c r="G1274" s="287"/>
      <c r="H1274" s="287"/>
      <c r="I1274" s="302"/>
      <c r="J1274" s="303">
        <f t="shared" si="266"/>
        <v>-100</v>
      </c>
    </row>
    <row r="1275" s="106" customFormat="1" ht="20.1" customHeight="1" spans="1:10">
      <c r="A1275" s="357" t="s">
        <v>3462</v>
      </c>
      <c r="B1275" s="41" t="s">
        <v>1460</v>
      </c>
      <c r="C1275" s="287"/>
      <c r="D1275" s="288">
        <f t="shared" si="265"/>
        <v>0</v>
      </c>
      <c r="E1275" s="287"/>
      <c r="F1275" s="287"/>
      <c r="G1275" s="287"/>
      <c r="H1275" s="287"/>
      <c r="I1275" s="302"/>
      <c r="J1275" s="303">
        <f t="shared" si="266"/>
        <v>0</v>
      </c>
    </row>
    <row r="1276" s="106" customFormat="1" ht="20.1" customHeight="1" spans="1:10">
      <c r="A1276" s="357" t="s">
        <v>3463</v>
      </c>
      <c r="B1276" s="41" t="s">
        <v>1462</v>
      </c>
      <c r="C1276" s="287"/>
      <c r="D1276" s="288">
        <f t="shared" si="265"/>
        <v>0</v>
      </c>
      <c r="E1276" s="287"/>
      <c r="F1276" s="287"/>
      <c r="G1276" s="287"/>
      <c r="H1276" s="287"/>
      <c r="I1276" s="302"/>
      <c r="J1276" s="303">
        <f t="shared" si="266"/>
        <v>0</v>
      </c>
    </row>
    <row r="1277" s="107" customFormat="1" ht="20.1" customHeight="1" spans="1:10">
      <c r="A1277" s="357" t="s">
        <v>3464</v>
      </c>
      <c r="B1277" s="41" t="s">
        <v>3465</v>
      </c>
      <c r="C1277" s="287">
        <v>921</v>
      </c>
      <c r="D1277" s="288">
        <f t="shared" si="265"/>
        <v>1287</v>
      </c>
      <c r="E1277" s="287">
        <v>150</v>
      </c>
      <c r="F1277" s="287"/>
      <c r="G1277" s="287"/>
      <c r="H1277" s="287"/>
      <c r="I1277" s="302">
        <v>1137</v>
      </c>
      <c r="J1277" s="303">
        <f t="shared" si="266"/>
        <v>139.74</v>
      </c>
    </row>
    <row r="1278" s="106" customFormat="1" ht="20.1" customHeight="1" spans="1:10">
      <c r="A1278" s="357" t="s">
        <v>3466</v>
      </c>
      <c r="B1278" s="41" t="s">
        <v>1476</v>
      </c>
      <c r="C1278" s="287"/>
      <c r="D1278" s="288">
        <f t="shared" si="265"/>
        <v>0</v>
      </c>
      <c r="E1278" s="287"/>
      <c r="F1278" s="287"/>
      <c r="G1278" s="287"/>
      <c r="H1278" s="287"/>
      <c r="I1278" s="302"/>
      <c r="J1278" s="303"/>
    </row>
    <row r="1279" s="106" customFormat="1" ht="20.1" customHeight="1" spans="1:10">
      <c r="A1279" s="357" t="s">
        <v>3467</v>
      </c>
      <c r="B1279" s="41" t="s">
        <v>3468</v>
      </c>
      <c r="C1279" s="287"/>
      <c r="D1279" s="288">
        <f t="shared" si="265"/>
        <v>0</v>
      </c>
      <c r="E1279" s="287"/>
      <c r="F1279" s="287"/>
      <c r="G1279" s="287"/>
      <c r="H1279" s="287"/>
      <c r="I1279" s="302"/>
      <c r="J1279" s="303">
        <f t="shared" ref="J1279:J1309" si="270">ROUND(IF(C1279=0,IF(D1279=0,0,1),IF(D1279=0,-1,D1279/C1279)),4)*100</f>
        <v>0</v>
      </c>
    </row>
    <row r="1280" s="106" customFormat="1" ht="20.1" customHeight="1" spans="1:10">
      <c r="A1280" s="283" t="s">
        <v>849</v>
      </c>
      <c r="B1280" s="323" t="s">
        <v>3469</v>
      </c>
      <c r="C1280" s="285">
        <f t="shared" ref="C1280:I1280" si="271">SUM(C1281:C1287)</f>
        <v>0</v>
      </c>
      <c r="D1280" s="285">
        <f t="shared" si="265"/>
        <v>0</v>
      </c>
      <c r="E1280" s="285">
        <f t="shared" si="271"/>
        <v>0</v>
      </c>
      <c r="F1280" s="285">
        <f t="shared" si="271"/>
        <v>0</v>
      </c>
      <c r="G1280" s="285">
        <f t="shared" si="271"/>
        <v>0</v>
      </c>
      <c r="H1280" s="285">
        <f t="shared" si="271"/>
        <v>0</v>
      </c>
      <c r="I1280" s="285">
        <f t="shared" si="271"/>
        <v>0</v>
      </c>
      <c r="J1280" s="324">
        <f t="shared" si="270"/>
        <v>0</v>
      </c>
    </row>
    <row r="1281" s="106" customFormat="1" ht="20.1" customHeight="1" spans="1:10">
      <c r="A1281" s="357" t="s">
        <v>3470</v>
      </c>
      <c r="B1281" s="41" t="s">
        <v>1458</v>
      </c>
      <c r="C1281" s="287">
        <v>0</v>
      </c>
      <c r="D1281" s="288">
        <f t="shared" si="265"/>
        <v>0</v>
      </c>
      <c r="E1281" s="287"/>
      <c r="F1281" s="287"/>
      <c r="G1281" s="287"/>
      <c r="H1281" s="287"/>
      <c r="I1281" s="302"/>
      <c r="J1281" s="303">
        <f t="shared" si="270"/>
        <v>0</v>
      </c>
    </row>
    <row r="1282" s="106" customFormat="1" ht="20.1" customHeight="1" spans="1:10">
      <c r="A1282" s="357" t="s">
        <v>3471</v>
      </c>
      <c r="B1282" s="41" t="s">
        <v>1460</v>
      </c>
      <c r="C1282" s="287">
        <v>0</v>
      </c>
      <c r="D1282" s="288">
        <f t="shared" si="265"/>
        <v>0</v>
      </c>
      <c r="E1282" s="287"/>
      <c r="F1282" s="287"/>
      <c r="G1282" s="287"/>
      <c r="H1282" s="287"/>
      <c r="I1282" s="302"/>
      <c r="J1282" s="303">
        <f t="shared" si="270"/>
        <v>0</v>
      </c>
    </row>
    <row r="1283" s="106" customFormat="1" ht="20.1" customHeight="1" spans="1:10">
      <c r="A1283" s="357" t="s">
        <v>3472</v>
      </c>
      <c r="B1283" s="41" t="s">
        <v>1462</v>
      </c>
      <c r="C1283" s="287">
        <v>0</v>
      </c>
      <c r="D1283" s="288">
        <f t="shared" si="265"/>
        <v>0</v>
      </c>
      <c r="E1283" s="287"/>
      <c r="F1283" s="287"/>
      <c r="G1283" s="287"/>
      <c r="H1283" s="287"/>
      <c r="I1283" s="302"/>
      <c r="J1283" s="303">
        <f t="shared" si="270"/>
        <v>0</v>
      </c>
    </row>
    <row r="1284" s="107" customFormat="1" ht="20.1" customHeight="1" spans="1:10">
      <c r="A1284" s="357" t="s">
        <v>3473</v>
      </c>
      <c r="B1284" s="41" t="s">
        <v>3474</v>
      </c>
      <c r="C1284" s="287">
        <v>0</v>
      </c>
      <c r="D1284" s="288">
        <f t="shared" si="265"/>
        <v>0</v>
      </c>
      <c r="E1284" s="287"/>
      <c r="F1284" s="287"/>
      <c r="G1284" s="287"/>
      <c r="H1284" s="287"/>
      <c r="I1284" s="302"/>
      <c r="J1284" s="303">
        <f t="shared" si="270"/>
        <v>0</v>
      </c>
    </row>
    <row r="1285" s="106" customFormat="1" ht="20.1" customHeight="1" spans="1:10">
      <c r="A1285" s="357" t="s">
        <v>3475</v>
      </c>
      <c r="B1285" s="41" t="s">
        <v>3476</v>
      </c>
      <c r="C1285" s="287">
        <v>0</v>
      </c>
      <c r="D1285" s="288">
        <f t="shared" si="265"/>
        <v>0</v>
      </c>
      <c r="E1285" s="287"/>
      <c r="F1285" s="287"/>
      <c r="G1285" s="287"/>
      <c r="H1285" s="287"/>
      <c r="I1285" s="302"/>
      <c r="J1285" s="303">
        <f t="shared" si="270"/>
        <v>0</v>
      </c>
    </row>
    <row r="1286" s="106" customFormat="1" ht="20.1" customHeight="1" spans="1:10">
      <c r="A1286" s="357" t="s">
        <v>3477</v>
      </c>
      <c r="B1286" s="41" t="s">
        <v>1476</v>
      </c>
      <c r="C1286" s="287">
        <v>0</v>
      </c>
      <c r="D1286" s="288">
        <f t="shared" si="265"/>
        <v>0</v>
      </c>
      <c r="E1286" s="287"/>
      <c r="F1286" s="287"/>
      <c r="G1286" s="287"/>
      <c r="H1286" s="287"/>
      <c r="I1286" s="302"/>
      <c r="J1286" s="303">
        <f t="shared" si="270"/>
        <v>0</v>
      </c>
    </row>
    <row r="1287" s="106" customFormat="1" ht="20.1" customHeight="1" spans="1:10">
      <c r="A1287" s="357" t="s">
        <v>3478</v>
      </c>
      <c r="B1287" s="41" t="s">
        <v>3479</v>
      </c>
      <c r="C1287" s="287">
        <v>0</v>
      </c>
      <c r="D1287" s="288">
        <f t="shared" si="265"/>
        <v>0</v>
      </c>
      <c r="E1287" s="287"/>
      <c r="F1287" s="287"/>
      <c r="G1287" s="287"/>
      <c r="H1287" s="287"/>
      <c r="I1287" s="302"/>
      <c r="J1287" s="303">
        <f t="shared" si="270"/>
        <v>0</v>
      </c>
    </row>
    <row r="1288" s="106" customFormat="1" ht="20.1" customHeight="1" spans="1:10">
      <c r="A1288" s="283" t="s">
        <v>851</v>
      </c>
      <c r="B1288" s="323" t="s">
        <v>3480</v>
      </c>
      <c r="C1288" s="285">
        <f t="shared" ref="C1288:I1288" si="272">SUM(C1289:C1300)</f>
        <v>0</v>
      </c>
      <c r="D1288" s="285">
        <f t="shared" si="265"/>
        <v>0</v>
      </c>
      <c r="E1288" s="285">
        <f t="shared" si="272"/>
        <v>0</v>
      </c>
      <c r="F1288" s="285">
        <f t="shared" si="272"/>
        <v>0</v>
      </c>
      <c r="G1288" s="285">
        <f t="shared" si="272"/>
        <v>0</v>
      </c>
      <c r="H1288" s="285">
        <f t="shared" si="272"/>
        <v>0</v>
      </c>
      <c r="I1288" s="285">
        <f t="shared" si="272"/>
        <v>0</v>
      </c>
      <c r="J1288" s="324">
        <f t="shared" si="270"/>
        <v>0</v>
      </c>
    </row>
    <row r="1289" s="106" customFormat="1" ht="20.1" customHeight="1" spans="1:10">
      <c r="A1289" s="357" t="s">
        <v>3481</v>
      </c>
      <c r="B1289" s="41" t="s">
        <v>1458</v>
      </c>
      <c r="C1289" s="287">
        <v>0</v>
      </c>
      <c r="D1289" s="288">
        <f t="shared" si="265"/>
        <v>0</v>
      </c>
      <c r="E1289" s="287"/>
      <c r="F1289" s="287"/>
      <c r="G1289" s="287"/>
      <c r="H1289" s="287"/>
      <c r="I1289" s="302"/>
      <c r="J1289" s="303">
        <f t="shared" si="270"/>
        <v>0</v>
      </c>
    </row>
    <row r="1290" s="106" customFormat="1" ht="20.1" customHeight="1" spans="1:10">
      <c r="A1290" s="357" t="s">
        <v>3482</v>
      </c>
      <c r="B1290" s="41" t="s">
        <v>1460</v>
      </c>
      <c r="C1290" s="287">
        <v>0</v>
      </c>
      <c r="D1290" s="288">
        <f t="shared" si="265"/>
        <v>0</v>
      </c>
      <c r="E1290" s="287"/>
      <c r="F1290" s="287"/>
      <c r="G1290" s="287"/>
      <c r="H1290" s="287"/>
      <c r="I1290" s="302"/>
      <c r="J1290" s="303">
        <f t="shared" si="270"/>
        <v>0</v>
      </c>
    </row>
    <row r="1291" s="106" customFormat="1" ht="20.1" customHeight="1" spans="1:10">
      <c r="A1291" s="357" t="s">
        <v>3483</v>
      </c>
      <c r="B1291" s="41" t="s">
        <v>1462</v>
      </c>
      <c r="C1291" s="287">
        <v>0</v>
      </c>
      <c r="D1291" s="288">
        <f t="shared" si="265"/>
        <v>0</v>
      </c>
      <c r="E1291" s="287"/>
      <c r="F1291" s="287"/>
      <c r="G1291" s="287"/>
      <c r="H1291" s="287"/>
      <c r="I1291" s="302"/>
      <c r="J1291" s="303">
        <f t="shared" si="270"/>
        <v>0</v>
      </c>
    </row>
    <row r="1292" s="107" customFormat="1" ht="20.1" customHeight="1" spans="1:10">
      <c r="A1292" s="357" t="s">
        <v>3484</v>
      </c>
      <c r="B1292" s="41" t="s">
        <v>3485</v>
      </c>
      <c r="C1292" s="287">
        <v>0</v>
      </c>
      <c r="D1292" s="288">
        <f t="shared" si="265"/>
        <v>0</v>
      </c>
      <c r="E1292" s="287"/>
      <c r="F1292" s="287"/>
      <c r="G1292" s="287"/>
      <c r="H1292" s="287"/>
      <c r="I1292" s="302"/>
      <c r="J1292" s="303">
        <f t="shared" si="270"/>
        <v>0</v>
      </c>
    </row>
    <row r="1293" s="106" customFormat="1" ht="20.1" customHeight="1" spans="1:10">
      <c r="A1293" s="357" t="s">
        <v>3486</v>
      </c>
      <c r="B1293" s="41" t="s">
        <v>3487</v>
      </c>
      <c r="C1293" s="287">
        <v>0</v>
      </c>
      <c r="D1293" s="288">
        <f t="shared" si="265"/>
        <v>0</v>
      </c>
      <c r="E1293" s="287"/>
      <c r="F1293" s="287"/>
      <c r="G1293" s="287"/>
      <c r="H1293" s="287"/>
      <c r="I1293" s="302"/>
      <c r="J1293" s="303">
        <f t="shared" si="270"/>
        <v>0</v>
      </c>
    </row>
    <row r="1294" s="106" customFormat="1" ht="20.1" customHeight="1" spans="1:10">
      <c r="A1294" s="357" t="s">
        <v>3488</v>
      </c>
      <c r="B1294" s="41" t="s">
        <v>3489</v>
      </c>
      <c r="C1294" s="287">
        <v>0</v>
      </c>
      <c r="D1294" s="288">
        <f t="shared" si="265"/>
        <v>0</v>
      </c>
      <c r="E1294" s="287"/>
      <c r="F1294" s="287"/>
      <c r="G1294" s="287"/>
      <c r="H1294" s="287"/>
      <c r="I1294" s="302"/>
      <c r="J1294" s="303">
        <f t="shared" si="270"/>
        <v>0</v>
      </c>
    </row>
    <row r="1295" s="106" customFormat="1" ht="20.1" customHeight="1" spans="1:10">
      <c r="A1295" s="357" t="s">
        <v>3490</v>
      </c>
      <c r="B1295" s="41" t="s">
        <v>3491</v>
      </c>
      <c r="C1295" s="287">
        <v>0</v>
      </c>
      <c r="D1295" s="288">
        <f t="shared" si="265"/>
        <v>0</v>
      </c>
      <c r="E1295" s="287"/>
      <c r="F1295" s="287"/>
      <c r="G1295" s="287"/>
      <c r="H1295" s="287"/>
      <c r="I1295" s="302"/>
      <c r="J1295" s="303">
        <f t="shared" si="270"/>
        <v>0</v>
      </c>
    </row>
    <row r="1296" s="106" customFormat="1" ht="20.1" customHeight="1" spans="1:10">
      <c r="A1296" s="357" t="s">
        <v>3492</v>
      </c>
      <c r="B1296" s="41" t="s">
        <v>3493</v>
      </c>
      <c r="C1296" s="287">
        <v>0</v>
      </c>
      <c r="D1296" s="288">
        <f t="shared" si="265"/>
        <v>0</v>
      </c>
      <c r="E1296" s="287"/>
      <c r="F1296" s="287"/>
      <c r="G1296" s="287"/>
      <c r="H1296" s="287"/>
      <c r="I1296" s="302"/>
      <c r="J1296" s="303">
        <f t="shared" si="270"/>
        <v>0</v>
      </c>
    </row>
    <row r="1297" s="106" customFormat="1" ht="20.1" customHeight="1" spans="1:10">
      <c r="A1297" s="357" t="s">
        <v>3494</v>
      </c>
      <c r="B1297" s="41" t="s">
        <v>3495</v>
      </c>
      <c r="C1297" s="287">
        <v>0</v>
      </c>
      <c r="D1297" s="288">
        <f t="shared" si="265"/>
        <v>0</v>
      </c>
      <c r="E1297" s="287"/>
      <c r="F1297" s="287"/>
      <c r="G1297" s="287"/>
      <c r="H1297" s="287"/>
      <c r="I1297" s="302"/>
      <c r="J1297" s="303">
        <f t="shared" si="270"/>
        <v>0</v>
      </c>
    </row>
    <row r="1298" s="106" customFormat="1" ht="20.1" customHeight="1" spans="1:10">
      <c r="A1298" s="357" t="s">
        <v>3496</v>
      </c>
      <c r="B1298" s="41" t="s">
        <v>3497</v>
      </c>
      <c r="C1298" s="287">
        <v>0</v>
      </c>
      <c r="D1298" s="288">
        <f t="shared" si="265"/>
        <v>0</v>
      </c>
      <c r="E1298" s="287"/>
      <c r="F1298" s="287"/>
      <c r="G1298" s="287"/>
      <c r="H1298" s="287"/>
      <c r="I1298" s="302"/>
      <c r="J1298" s="303">
        <f t="shared" si="270"/>
        <v>0</v>
      </c>
    </row>
    <row r="1299" s="106" customFormat="1" ht="20.1" customHeight="1" spans="1:10">
      <c r="A1299" s="357" t="s">
        <v>3498</v>
      </c>
      <c r="B1299" s="41" t="s">
        <v>3499</v>
      </c>
      <c r="C1299" s="287">
        <v>0</v>
      </c>
      <c r="D1299" s="288">
        <f t="shared" si="265"/>
        <v>0</v>
      </c>
      <c r="E1299" s="287"/>
      <c r="F1299" s="287"/>
      <c r="G1299" s="287"/>
      <c r="H1299" s="287"/>
      <c r="I1299" s="302"/>
      <c r="J1299" s="303">
        <f t="shared" si="270"/>
        <v>0</v>
      </c>
    </row>
    <row r="1300" s="106" customFormat="1" ht="20.1" customHeight="1" spans="1:10">
      <c r="A1300" s="357" t="s">
        <v>3500</v>
      </c>
      <c r="B1300" s="41" t="s">
        <v>3501</v>
      </c>
      <c r="C1300" s="287">
        <v>0</v>
      </c>
      <c r="D1300" s="288">
        <f t="shared" si="265"/>
        <v>0</v>
      </c>
      <c r="E1300" s="287"/>
      <c r="F1300" s="287"/>
      <c r="G1300" s="287"/>
      <c r="H1300" s="287"/>
      <c r="I1300" s="302"/>
      <c r="J1300" s="303">
        <f t="shared" si="270"/>
        <v>0</v>
      </c>
    </row>
    <row r="1301" s="106" customFormat="1" ht="20.1" customHeight="1" spans="1:10">
      <c r="A1301" s="283" t="s">
        <v>852</v>
      </c>
      <c r="B1301" s="323" t="s">
        <v>3502</v>
      </c>
      <c r="C1301" s="285">
        <f t="shared" ref="C1301:I1301" si="273">SUM(C1302:C1304)</f>
        <v>256</v>
      </c>
      <c r="D1301" s="285">
        <f t="shared" si="265"/>
        <v>2307</v>
      </c>
      <c r="E1301" s="285">
        <f t="shared" si="273"/>
        <v>0</v>
      </c>
      <c r="F1301" s="285">
        <f t="shared" si="273"/>
        <v>1239</v>
      </c>
      <c r="G1301" s="285">
        <f t="shared" si="273"/>
        <v>1068</v>
      </c>
      <c r="H1301" s="285">
        <f t="shared" si="273"/>
        <v>0</v>
      </c>
      <c r="I1301" s="285">
        <f t="shared" si="273"/>
        <v>0</v>
      </c>
      <c r="J1301" s="324">
        <f t="shared" si="270"/>
        <v>901.17</v>
      </c>
    </row>
    <row r="1302" s="106" customFormat="1" ht="20.1" customHeight="1" spans="1:10">
      <c r="A1302" s="357" t="s">
        <v>3503</v>
      </c>
      <c r="B1302" s="41" t="s">
        <v>3504</v>
      </c>
      <c r="C1302" s="287">
        <v>256</v>
      </c>
      <c r="D1302" s="288">
        <f t="shared" si="265"/>
        <v>1568</v>
      </c>
      <c r="E1302" s="287"/>
      <c r="F1302" s="287">
        <v>500</v>
      </c>
      <c r="G1302" s="287">
        <v>1068</v>
      </c>
      <c r="H1302" s="287"/>
      <c r="I1302" s="302"/>
      <c r="J1302" s="303">
        <f t="shared" si="270"/>
        <v>612.5</v>
      </c>
    </row>
    <row r="1303" s="106" customFormat="1" ht="20.1" customHeight="1" spans="1:10">
      <c r="A1303" s="357" t="s">
        <v>3505</v>
      </c>
      <c r="B1303" s="41" t="s">
        <v>3506</v>
      </c>
      <c r="C1303" s="287"/>
      <c r="D1303" s="288">
        <f t="shared" si="265"/>
        <v>0</v>
      </c>
      <c r="E1303" s="287"/>
      <c r="F1303" s="287"/>
      <c r="G1303" s="287"/>
      <c r="H1303" s="287"/>
      <c r="I1303" s="302"/>
      <c r="J1303" s="303">
        <f t="shared" si="270"/>
        <v>0</v>
      </c>
    </row>
    <row r="1304" s="106" customFormat="1" ht="20.1" customHeight="1" spans="1:10">
      <c r="A1304" s="357" t="s">
        <v>3507</v>
      </c>
      <c r="B1304" s="41" t="s">
        <v>3508</v>
      </c>
      <c r="C1304" s="287"/>
      <c r="D1304" s="288">
        <f t="shared" si="265"/>
        <v>739</v>
      </c>
      <c r="E1304" s="287"/>
      <c r="F1304" s="287">
        <v>739</v>
      </c>
      <c r="G1304" s="287"/>
      <c r="H1304" s="287"/>
      <c r="I1304" s="302"/>
      <c r="J1304" s="303">
        <f t="shared" si="270"/>
        <v>100</v>
      </c>
    </row>
    <row r="1305" s="107" customFormat="1" ht="20.1" customHeight="1" spans="1:10">
      <c r="A1305" s="283" t="s">
        <v>853</v>
      </c>
      <c r="B1305" s="323" t="s">
        <v>3509</v>
      </c>
      <c r="C1305" s="285">
        <f t="shared" ref="C1305:I1305" si="274">SUM(C1306:C1308)</f>
        <v>160</v>
      </c>
      <c r="D1305" s="285">
        <f t="shared" si="265"/>
        <v>14</v>
      </c>
      <c r="E1305" s="285">
        <f t="shared" si="274"/>
        <v>0</v>
      </c>
      <c r="F1305" s="285">
        <f t="shared" si="274"/>
        <v>0</v>
      </c>
      <c r="G1305" s="285">
        <f t="shared" si="274"/>
        <v>14</v>
      </c>
      <c r="H1305" s="285">
        <f t="shared" si="274"/>
        <v>0</v>
      </c>
      <c r="I1305" s="285">
        <f t="shared" si="274"/>
        <v>0</v>
      </c>
      <c r="J1305" s="324">
        <f t="shared" si="270"/>
        <v>8.75</v>
      </c>
    </row>
    <row r="1306" s="106" customFormat="1" ht="20.1" customHeight="1" spans="1:10">
      <c r="A1306" s="357" t="s">
        <v>3510</v>
      </c>
      <c r="B1306" s="41" t="s">
        <v>3511</v>
      </c>
      <c r="C1306" s="287">
        <v>88</v>
      </c>
      <c r="D1306" s="288">
        <f t="shared" si="265"/>
        <v>14</v>
      </c>
      <c r="E1306" s="287"/>
      <c r="F1306" s="287"/>
      <c r="G1306" s="287">
        <v>14</v>
      </c>
      <c r="H1306" s="287"/>
      <c r="I1306" s="302"/>
      <c r="J1306" s="303">
        <f t="shared" si="270"/>
        <v>15.91</v>
      </c>
    </row>
    <row r="1307" s="106" customFormat="1" ht="20.1" customHeight="1" spans="1:10">
      <c r="A1307" s="357" t="s">
        <v>3512</v>
      </c>
      <c r="B1307" s="41" t="s">
        <v>3513</v>
      </c>
      <c r="C1307" s="287"/>
      <c r="D1307" s="288">
        <f t="shared" si="265"/>
        <v>0</v>
      </c>
      <c r="E1307" s="287"/>
      <c r="F1307" s="287"/>
      <c r="G1307" s="287"/>
      <c r="H1307" s="287"/>
      <c r="I1307" s="302"/>
      <c r="J1307" s="303">
        <f t="shared" si="270"/>
        <v>0</v>
      </c>
    </row>
    <row r="1308" s="106" customFormat="1" ht="20.1" customHeight="1" spans="1:10">
      <c r="A1308" s="357" t="s">
        <v>3514</v>
      </c>
      <c r="B1308" s="41" t="s">
        <v>3515</v>
      </c>
      <c r="C1308" s="287">
        <v>72</v>
      </c>
      <c r="D1308" s="288">
        <f t="shared" si="265"/>
        <v>0</v>
      </c>
      <c r="E1308" s="287"/>
      <c r="F1308" s="287"/>
      <c r="G1308" s="287"/>
      <c r="H1308" s="287"/>
      <c r="I1308" s="302"/>
      <c r="J1308" s="303">
        <f t="shared" si="270"/>
        <v>-100</v>
      </c>
    </row>
    <row r="1309" s="107" customFormat="1" ht="20.1" customHeight="1" spans="1:10">
      <c r="A1309" s="283" t="s">
        <v>854</v>
      </c>
      <c r="B1309" s="323" t="s">
        <v>3516</v>
      </c>
      <c r="C1309" s="285">
        <f t="shared" ref="C1309:I1309" si="275">SUM(C1310)</f>
        <v>629</v>
      </c>
      <c r="D1309" s="285">
        <f t="shared" si="265"/>
        <v>0</v>
      </c>
      <c r="E1309" s="285">
        <f t="shared" si="275"/>
        <v>0</v>
      </c>
      <c r="F1309" s="285">
        <f t="shared" si="275"/>
        <v>0</v>
      </c>
      <c r="G1309" s="285">
        <f t="shared" si="275"/>
        <v>0</v>
      </c>
      <c r="H1309" s="285">
        <f t="shared" si="275"/>
        <v>0</v>
      </c>
      <c r="I1309" s="285">
        <f t="shared" si="275"/>
        <v>0</v>
      </c>
      <c r="J1309" s="324">
        <f t="shared" si="270"/>
        <v>-100</v>
      </c>
    </row>
    <row r="1310" s="106" customFormat="1" ht="20.1" customHeight="1" spans="1:10">
      <c r="A1310" s="357" t="s">
        <v>3517</v>
      </c>
      <c r="B1310" s="41" t="s">
        <v>466</v>
      </c>
      <c r="C1310" s="287">
        <v>629</v>
      </c>
      <c r="D1310" s="288">
        <f t="shared" si="265"/>
        <v>0</v>
      </c>
      <c r="E1310" s="287"/>
      <c r="F1310" s="287"/>
      <c r="G1310" s="287"/>
      <c r="H1310" s="287"/>
      <c r="I1310" s="302"/>
      <c r="J1310" s="303"/>
    </row>
    <row r="1311" s="106" customFormat="1" ht="20.1" customHeight="1" spans="1:10">
      <c r="A1311" s="280" t="s">
        <v>855</v>
      </c>
      <c r="B1311" s="281" t="s">
        <v>856</v>
      </c>
      <c r="C1311" s="282"/>
      <c r="D1311" s="282">
        <f t="shared" si="265"/>
        <v>2100</v>
      </c>
      <c r="E1311" s="282"/>
      <c r="F1311" s="282"/>
      <c r="G1311" s="282"/>
      <c r="H1311" s="282">
        <v>2100</v>
      </c>
      <c r="I1311" s="359"/>
      <c r="J1311" s="296">
        <f t="shared" ref="J1311:J1313" si="276">ROUND(IF(C1311=0,IF(D1311=0,0,1),IF(D1311=0,-1,D1311/C1311)),4)*100</f>
        <v>100</v>
      </c>
    </row>
    <row r="1312" s="106" customFormat="1" ht="20.1" customHeight="1" spans="1:10">
      <c r="A1312" s="280" t="s">
        <v>857</v>
      </c>
      <c r="B1312" s="281" t="s">
        <v>858</v>
      </c>
      <c r="C1312" s="282">
        <f t="shared" ref="C1312:I1312" si="277">C1313+C1315</f>
        <v>30</v>
      </c>
      <c r="D1312" s="282">
        <f t="shared" si="265"/>
        <v>15036</v>
      </c>
      <c r="E1312" s="282">
        <f t="shared" si="277"/>
        <v>0</v>
      </c>
      <c r="F1312" s="282">
        <f t="shared" si="277"/>
        <v>0</v>
      </c>
      <c r="G1312" s="282">
        <f t="shared" si="277"/>
        <v>0</v>
      </c>
      <c r="H1312" s="282">
        <f t="shared" si="277"/>
        <v>15036</v>
      </c>
      <c r="I1312" s="282">
        <f t="shared" si="277"/>
        <v>0</v>
      </c>
      <c r="J1312" s="296">
        <f t="shared" si="276"/>
        <v>50120</v>
      </c>
    </row>
    <row r="1313" s="107" customFormat="1" ht="20.1" customHeight="1" spans="1:10">
      <c r="A1313" s="283" t="s">
        <v>859</v>
      </c>
      <c r="B1313" s="323" t="s">
        <v>3518</v>
      </c>
      <c r="C1313" s="285">
        <f t="shared" ref="C1313:I1313" si="278">C1314</f>
        <v>0</v>
      </c>
      <c r="D1313" s="285">
        <f t="shared" si="265"/>
        <v>15036</v>
      </c>
      <c r="E1313" s="285">
        <f t="shared" si="278"/>
        <v>0</v>
      </c>
      <c r="F1313" s="285">
        <f t="shared" si="278"/>
        <v>0</v>
      </c>
      <c r="G1313" s="285">
        <f t="shared" si="278"/>
        <v>0</v>
      </c>
      <c r="H1313" s="285">
        <f t="shared" si="278"/>
        <v>15036</v>
      </c>
      <c r="I1313" s="285">
        <f t="shared" si="278"/>
        <v>0</v>
      </c>
      <c r="J1313" s="324">
        <f t="shared" si="276"/>
        <v>100</v>
      </c>
    </row>
    <row r="1314" s="106" customFormat="1" ht="20.1" customHeight="1" spans="1:10">
      <c r="A1314" s="279" t="s">
        <v>3519</v>
      </c>
      <c r="B1314" s="41" t="s">
        <v>3520</v>
      </c>
      <c r="C1314" s="287"/>
      <c r="D1314" s="288">
        <f t="shared" si="265"/>
        <v>15036</v>
      </c>
      <c r="E1314" s="287"/>
      <c r="F1314" s="287"/>
      <c r="G1314" s="287"/>
      <c r="H1314" s="287">
        <f>17536-2500</f>
        <v>15036</v>
      </c>
      <c r="I1314" s="302"/>
      <c r="J1314" s="303"/>
    </row>
    <row r="1315" s="107" customFormat="1" ht="20.1" customHeight="1" spans="1:10">
      <c r="A1315" s="283" t="s">
        <v>861</v>
      </c>
      <c r="B1315" s="323" t="s">
        <v>3252</v>
      </c>
      <c r="C1315" s="285">
        <f t="shared" ref="C1315:I1315" si="279">C1316</f>
        <v>30</v>
      </c>
      <c r="D1315" s="285">
        <f t="shared" si="265"/>
        <v>0</v>
      </c>
      <c r="E1315" s="285">
        <f t="shared" si="279"/>
        <v>0</v>
      </c>
      <c r="F1315" s="285">
        <f t="shared" si="279"/>
        <v>0</v>
      </c>
      <c r="G1315" s="285">
        <f t="shared" si="279"/>
        <v>0</v>
      </c>
      <c r="H1315" s="285">
        <f t="shared" si="279"/>
        <v>0</v>
      </c>
      <c r="I1315" s="285">
        <f t="shared" si="279"/>
        <v>0</v>
      </c>
      <c r="J1315" s="324">
        <f t="shared" ref="J1315:J1329" si="280">ROUND(IF(C1315=0,IF(D1315=0,0,1),IF(D1315=0,-1,D1315/C1315)),4)*100</f>
        <v>-100</v>
      </c>
    </row>
    <row r="1316" s="107" customFormat="1" ht="20.1" customHeight="1" spans="1:10">
      <c r="A1316" s="279" t="s">
        <v>3521</v>
      </c>
      <c r="B1316" s="289" t="s">
        <v>819</v>
      </c>
      <c r="C1316" s="287">
        <v>30</v>
      </c>
      <c r="D1316" s="287"/>
      <c r="E1316" s="287"/>
      <c r="F1316" s="287"/>
      <c r="G1316" s="287"/>
      <c r="H1316" s="287"/>
      <c r="I1316" s="287"/>
      <c r="J1316" s="236"/>
    </row>
    <row r="1317" s="107" customFormat="1" ht="20.1" customHeight="1" spans="1:10">
      <c r="A1317" s="280" t="s">
        <v>868</v>
      </c>
      <c r="B1317" s="281" t="s">
        <v>3522</v>
      </c>
      <c r="C1317" s="282">
        <f t="shared" ref="C1317:I1317" si="281">C1318</f>
        <v>0</v>
      </c>
      <c r="D1317" s="282">
        <f t="shared" ref="D1317:D1331" si="282">SUM(E1317:I1317)</f>
        <v>0</v>
      </c>
      <c r="E1317" s="282">
        <f t="shared" si="281"/>
        <v>0</v>
      </c>
      <c r="F1317" s="282">
        <f t="shared" si="281"/>
        <v>0</v>
      </c>
      <c r="G1317" s="282">
        <f t="shared" si="281"/>
        <v>0</v>
      </c>
      <c r="H1317" s="282">
        <f t="shared" si="281"/>
        <v>0</v>
      </c>
      <c r="I1317" s="282">
        <f t="shared" si="281"/>
        <v>0</v>
      </c>
      <c r="J1317" s="296">
        <f t="shared" si="280"/>
        <v>0</v>
      </c>
    </row>
    <row r="1318" s="106" customFormat="1" ht="20.1" customHeight="1" spans="1:10">
      <c r="A1318" s="283" t="s">
        <v>874</v>
      </c>
      <c r="B1318" s="323" t="s">
        <v>3523</v>
      </c>
      <c r="C1318" s="285">
        <f t="shared" ref="C1318:I1318" si="283">SUM(C1319:C1322)</f>
        <v>0</v>
      </c>
      <c r="D1318" s="285">
        <f t="shared" si="282"/>
        <v>0</v>
      </c>
      <c r="E1318" s="285">
        <f t="shared" si="283"/>
        <v>0</v>
      </c>
      <c r="F1318" s="285">
        <f t="shared" si="283"/>
        <v>0</v>
      </c>
      <c r="G1318" s="285">
        <f t="shared" si="283"/>
        <v>0</v>
      </c>
      <c r="H1318" s="285">
        <f t="shared" si="283"/>
        <v>0</v>
      </c>
      <c r="I1318" s="285">
        <f t="shared" si="283"/>
        <v>0</v>
      </c>
      <c r="J1318" s="324">
        <f t="shared" si="280"/>
        <v>0</v>
      </c>
    </row>
    <row r="1319" s="107" customFormat="1" ht="20.1" customHeight="1" spans="1:10">
      <c r="A1319" s="279" t="s">
        <v>3524</v>
      </c>
      <c r="B1319" s="41" t="s">
        <v>3525</v>
      </c>
      <c r="C1319" s="287"/>
      <c r="D1319" s="288">
        <f t="shared" si="282"/>
        <v>0</v>
      </c>
      <c r="E1319" s="287"/>
      <c r="F1319" s="287">
        <f>SUM(F1320:F1323)</f>
        <v>0</v>
      </c>
      <c r="G1319" s="287"/>
      <c r="H1319" s="287"/>
      <c r="I1319" s="302"/>
      <c r="J1319" s="303">
        <f t="shared" si="280"/>
        <v>0</v>
      </c>
    </row>
    <row r="1320" s="106" customFormat="1" ht="20.1" customHeight="1" spans="1:10">
      <c r="A1320" s="279" t="s">
        <v>3526</v>
      </c>
      <c r="B1320" s="41" t="s">
        <v>3527</v>
      </c>
      <c r="C1320" s="287">
        <v>0</v>
      </c>
      <c r="D1320" s="288">
        <f t="shared" si="282"/>
        <v>0</v>
      </c>
      <c r="E1320" s="287"/>
      <c r="F1320" s="287"/>
      <c r="G1320" s="287"/>
      <c r="H1320" s="287"/>
      <c r="I1320" s="302"/>
      <c r="J1320" s="303">
        <f t="shared" si="280"/>
        <v>0</v>
      </c>
    </row>
    <row r="1321" s="107" customFormat="1" ht="20.1" customHeight="1" spans="1:10">
      <c r="A1321" s="279" t="s">
        <v>3528</v>
      </c>
      <c r="B1321" s="41" t="s">
        <v>3529</v>
      </c>
      <c r="C1321" s="287">
        <v>0</v>
      </c>
      <c r="D1321" s="288">
        <f t="shared" si="282"/>
        <v>0</v>
      </c>
      <c r="E1321" s="287"/>
      <c r="F1321" s="287"/>
      <c r="G1321" s="287"/>
      <c r="H1321" s="287"/>
      <c r="I1321" s="302"/>
      <c r="J1321" s="303">
        <f t="shared" si="280"/>
        <v>0</v>
      </c>
    </row>
    <row r="1322" s="107" customFormat="1" ht="20.1" customHeight="1" spans="1:10">
      <c r="A1322" s="279" t="s">
        <v>3530</v>
      </c>
      <c r="B1322" s="41" t="s">
        <v>3531</v>
      </c>
      <c r="C1322" s="287"/>
      <c r="D1322" s="288">
        <f t="shared" si="282"/>
        <v>0</v>
      </c>
      <c r="E1322" s="287"/>
      <c r="F1322" s="287"/>
      <c r="G1322" s="287"/>
      <c r="H1322" s="287"/>
      <c r="I1322" s="302"/>
      <c r="J1322" s="303">
        <f t="shared" si="280"/>
        <v>0</v>
      </c>
    </row>
    <row r="1323" s="106" customFormat="1" ht="20.1" customHeight="1" spans="1:10">
      <c r="A1323" s="280" t="s">
        <v>876</v>
      </c>
      <c r="B1323" s="281" t="s">
        <v>3532</v>
      </c>
      <c r="C1323" s="282">
        <f t="shared" ref="C1323:I1323" si="284">C1324</f>
        <v>6181</v>
      </c>
      <c r="D1323" s="282">
        <f t="shared" si="282"/>
        <v>5774</v>
      </c>
      <c r="E1323" s="282">
        <f t="shared" si="284"/>
        <v>0</v>
      </c>
      <c r="F1323" s="282">
        <f t="shared" si="284"/>
        <v>0</v>
      </c>
      <c r="G1323" s="282">
        <f t="shared" si="284"/>
        <v>0</v>
      </c>
      <c r="H1323" s="282">
        <f t="shared" si="284"/>
        <v>5774</v>
      </c>
      <c r="I1323" s="282">
        <f t="shared" si="284"/>
        <v>0</v>
      </c>
      <c r="J1323" s="296">
        <f t="shared" si="280"/>
        <v>93.42</v>
      </c>
    </row>
    <row r="1324" s="106" customFormat="1" ht="20.1" customHeight="1" spans="1:10">
      <c r="A1324" s="283" t="s">
        <v>878</v>
      </c>
      <c r="B1324" s="323" t="s">
        <v>3533</v>
      </c>
      <c r="C1324" s="285">
        <f t="shared" ref="C1324:I1324" si="285">SUM(C1325:C1328)</f>
        <v>6181</v>
      </c>
      <c r="D1324" s="285">
        <f t="shared" si="282"/>
        <v>5774</v>
      </c>
      <c r="E1324" s="285">
        <f t="shared" si="285"/>
        <v>0</v>
      </c>
      <c r="F1324" s="285">
        <f t="shared" si="285"/>
        <v>0</v>
      </c>
      <c r="G1324" s="285">
        <f t="shared" si="285"/>
        <v>0</v>
      </c>
      <c r="H1324" s="285">
        <f t="shared" si="285"/>
        <v>5774</v>
      </c>
      <c r="I1324" s="285">
        <f t="shared" si="285"/>
        <v>0</v>
      </c>
      <c r="J1324" s="324">
        <f t="shared" si="280"/>
        <v>93.42</v>
      </c>
    </row>
    <row r="1325" s="106" customFormat="1" ht="20.1" customHeight="1" spans="1:10">
      <c r="A1325" s="279" t="s">
        <v>3534</v>
      </c>
      <c r="B1325" s="41" t="s">
        <v>3535</v>
      </c>
      <c r="C1325" s="287">
        <v>5886</v>
      </c>
      <c r="D1325" s="288">
        <f t="shared" si="282"/>
        <v>5774</v>
      </c>
      <c r="E1325" s="287"/>
      <c r="F1325" s="287">
        <f>SUM(F1326:F1329)</f>
        <v>0</v>
      </c>
      <c r="G1325" s="287"/>
      <c r="H1325" s="287">
        <v>5774</v>
      </c>
      <c r="I1325" s="302"/>
      <c r="J1325" s="303">
        <f t="shared" si="280"/>
        <v>98.1</v>
      </c>
    </row>
    <row r="1326" s="106" customFormat="1" ht="20.1" customHeight="1" spans="1:10">
      <c r="A1326" s="279" t="s">
        <v>3536</v>
      </c>
      <c r="B1326" s="41" t="s">
        <v>3537</v>
      </c>
      <c r="C1326" s="287"/>
      <c r="D1326" s="288">
        <f t="shared" si="282"/>
        <v>0</v>
      </c>
      <c r="E1326" s="287"/>
      <c r="F1326" s="287"/>
      <c r="G1326" s="287"/>
      <c r="H1326" s="287"/>
      <c r="I1326" s="302"/>
      <c r="J1326" s="303">
        <f t="shared" si="280"/>
        <v>0</v>
      </c>
    </row>
    <row r="1327" s="107" customFormat="1" ht="20.1" customHeight="1" spans="1:10">
      <c r="A1327" s="279" t="s">
        <v>3538</v>
      </c>
      <c r="B1327" s="41" t="s">
        <v>3539</v>
      </c>
      <c r="C1327" s="287">
        <v>295</v>
      </c>
      <c r="D1327" s="288">
        <f t="shared" si="282"/>
        <v>0</v>
      </c>
      <c r="E1327" s="287"/>
      <c r="F1327" s="287"/>
      <c r="G1327" s="287"/>
      <c r="H1327" s="287"/>
      <c r="I1327" s="302"/>
      <c r="J1327" s="303">
        <f t="shared" si="280"/>
        <v>-100</v>
      </c>
    </row>
    <row r="1328" s="107" customFormat="1" ht="20.1" customHeight="1" spans="1:10">
      <c r="A1328" s="279" t="s">
        <v>3540</v>
      </c>
      <c r="B1328" s="41" t="s">
        <v>3541</v>
      </c>
      <c r="C1328" s="287"/>
      <c r="D1328" s="288">
        <f t="shared" si="282"/>
        <v>0</v>
      </c>
      <c r="E1328" s="287"/>
      <c r="F1328" s="287"/>
      <c r="G1328" s="287"/>
      <c r="H1328" s="287"/>
      <c r="I1328" s="302"/>
      <c r="J1328" s="303">
        <f t="shared" si="280"/>
        <v>0</v>
      </c>
    </row>
    <row r="1329" s="106" customFormat="1" ht="20.1" customHeight="1" spans="1:10">
      <c r="A1329" s="280" t="s">
        <v>880</v>
      </c>
      <c r="B1329" s="281" t="s">
        <v>3542</v>
      </c>
      <c r="C1329" s="282">
        <f t="shared" ref="C1329:I1329" si="286">C1330</f>
        <v>4</v>
      </c>
      <c r="D1329" s="282">
        <f t="shared" si="282"/>
        <v>0</v>
      </c>
      <c r="E1329" s="282">
        <f t="shared" si="286"/>
        <v>0</v>
      </c>
      <c r="F1329" s="282">
        <f t="shared" si="286"/>
        <v>0</v>
      </c>
      <c r="G1329" s="282">
        <f t="shared" si="286"/>
        <v>0</v>
      </c>
      <c r="H1329" s="282">
        <f t="shared" si="286"/>
        <v>0</v>
      </c>
      <c r="I1329" s="282">
        <f t="shared" si="286"/>
        <v>0</v>
      </c>
      <c r="J1329" s="296">
        <f t="shared" si="280"/>
        <v>-100</v>
      </c>
    </row>
    <row r="1330" s="106" customFormat="1" ht="20.1" customHeight="1" spans="1:10">
      <c r="A1330" s="283" t="s">
        <v>882</v>
      </c>
      <c r="B1330" s="323" t="s">
        <v>3543</v>
      </c>
      <c r="C1330" s="285">
        <f t="shared" ref="C1330:J1330" si="287">C1331</f>
        <v>4</v>
      </c>
      <c r="D1330" s="285">
        <f t="shared" si="282"/>
        <v>0</v>
      </c>
      <c r="E1330" s="285">
        <f t="shared" si="287"/>
        <v>0</v>
      </c>
      <c r="F1330" s="285">
        <f t="shared" si="287"/>
        <v>0</v>
      </c>
      <c r="G1330" s="285">
        <f t="shared" si="287"/>
        <v>0</v>
      </c>
      <c r="H1330" s="285">
        <f t="shared" si="287"/>
        <v>0</v>
      </c>
      <c r="I1330" s="285">
        <f t="shared" si="287"/>
        <v>0</v>
      </c>
      <c r="J1330" s="324">
        <f t="shared" si="287"/>
        <v>0</v>
      </c>
    </row>
    <row r="1331" s="106" customFormat="1" ht="20.1" customHeight="1" spans="1:10">
      <c r="A1331" s="335" t="s">
        <v>3544</v>
      </c>
      <c r="B1331" s="41" t="s">
        <v>3545</v>
      </c>
      <c r="C1331" s="287">
        <v>4</v>
      </c>
      <c r="D1331" s="287">
        <f t="shared" si="282"/>
        <v>0</v>
      </c>
      <c r="E1331" s="287"/>
      <c r="F1331" s="287"/>
      <c r="G1331" s="287"/>
      <c r="H1331" s="287"/>
      <c r="I1331" s="360"/>
      <c r="J1331" s="236"/>
    </row>
    <row r="1332" s="106" customFormat="1" ht="20.1" customHeight="1" spans="1:10">
      <c r="A1332" s="335"/>
      <c r="B1332" s="41"/>
      <c r="C1332" s="287"/>
      <c r="D1332" s="287"/>
      <c r="E1332" s="287"/>
      <c r="F1332" s="287"/>
      <c r="G1332" s="287"/>
      <c r="H1332" s="287"/>
      <c r="I1332" s="360"/>
      <c r="J1332" s="236"/>
    </row>
    <row r="1333" s="107" customFormat="1" ht="20.1" customHeight="1" spans="1:10">
      <c r="A1333" s="335"/>
      <c r="B1333" s="42" t="s">
        <v>3546</v>
      </c>
      <c r="C1333" s="287">
        <f t="shared" ref="C1333:I1333" si="288">C4+C252+C292+C311+C401+C453+C509+C565+C694+C778+C850+C873+C976+C1028+C1092+C1112+C1142+C1152+C1197+C1216+C1261+C1311+C1312+C1323+C1329+C1317</f>
        <v>337353</v>
      </c>
      <c r="D1333" s="287">
        <f t="shared" si="288"/>
        <v>342806</v>
      </c>
      <c r="E1333" s="287">
        <f t="shared" si="288"/>
        <v>98064</v>
      </c>
      <c r="F1333" s="287">
        <f t="shared" si="288"/>
        <v>4271</v>
      </c>
      <c r="G1333" s="287">
        <f t="shared" si="288"/>
        <v>28941</v>
      </c>
      <c r="H1333" s="287">
        <f t="shared" si="288"/>
        <v>41564</v>
      </c>
      <c r="I1333" s="287">
        <f t="shared" si="288"/>
        <v>169966</v>
      </c>
      <c r="J1333" s="303">
        <f>ROUND(IF(C1333=0,IF(D1333=0,0,1),IF(D1333=0,-1,D1333/C1333)),4)*100</f>
        <v>101.62</v>
      </c>
    </row>
    <row r="1334" s="107" customFormat="1" ht="20.1" customHeight="1" spans="1:10">
      <c r="A1334" s="268"/>
      <c r="B1334" s="269"/>
      <c r="C1334" s="269"/>
      <c r="D1334" s="270"/>
      <c r="E1334" s="270"/>
      <c r="F1334" s="270"/>
      <c r="G1334" s="270"/>
      <c r="H1334" s="270"/>
      <c r="I1334" s="271"/>
      <c r="J1334" s="269"/>
    </row>
    <row r="1335" s="106" customFormat="1" ht="20.1" customHeight="1" spans="1:10">
      <c r="A1335" s="268"/>
      <c r="B1335" s="269"/>
      <c r="C1335" s="269"/>
      <c r="D1335" s="270"/>
      <c r="E1335" s="270"/>
      <c r="F1335" s="270"/>
      <c r="G1335" s="270"/>
      <c r="H1335" s="270">
        <v>41564</v>
      </c>
      <c r="I1335" s="271"/>
      <c r="J1335" s="269"/>
    </row>
    <row r="1336" s="106" customFormat="1" ht="20.1" customHeight="1" spans="1:10">
      <c r="A1336" s="268"/>
      <c r="B1336" s="269"/>
      <c r="C1336" s="269"/>
      <c r="D1336" s="270"/>
      <c r="E1336" s="270"/>
      <c r="F1336" s="270"/>
      <c r="G1336" s="270"/>
      <c r="H1336" s="270"/>
      <c r="I1336" s="271"/>
      <c r="J1336" s="269"/>
    </row>
    <row r="1337" s="106" customFormat="1" ht="20.1" customHeight="1" spans="1:10">
      <c r="A1337" s="268"/>
      <c r="B1337" s="269"/>
      <c r="C1337" s="269"/>
      <c r="D1337" s="270"/>
      <c r="E1337" s="270"/>
      <c r="F1337" s="270"/>
      <c r="G1337" s="270"/>
      <c r="H1337" s="270"/>
      <c r="I1337" s="271"/>
      <c r="J1337" s="269"/>
    </row>
    <row r="1338" ht="20.1" customHeight="1"/>
    <row r="1339" s="140" customFormat="1" hidden="1" spans="1:10">
      <c r="A1339" s="268"/>
      <c r="B1339" s="269"/>
      <c r="C1339" s="269"/>
      <c r="D1339" s="270"/>
      <c r="E1339" s="270"/>
      <c r="F1339" s="270"/>
      <c r="G1339" s="270"/>
      <c r="H1339" s="270"/>
      <c r="I1339" s="271"/>
      <c r="J1339" s="269"/>
    </row>
    <row r="1340" s="140" customFormat="1" hidden="1" spans="1:10">
      <c r="A1340" s="268"/>
      <c r="B1340" s="269"/>
      <c r="C1340" s="269"/>
      <c r="D1340" s="270"/>
      <c r="E1340" s="270"/>
      <c r="F1340" s="270"/>
      <c r="G1340" s="270"/>
      <c r="H1340" s="270"/>
      <c r="I1340" s="271"/>
      <c r="J1340" s="269"/>
    </row>
    <row r="1341" hidden="1"/>
    <row r="1342" hidden="1"/>
  </sheetData>
  <mergeCells count="2">
    <mergeCell ref="A1:J1"/>
    <mergeCell ref="K952:K954"/>
  </mergeCells>
  <dataValidations count="1">
    <dataValidation type="decimal" operator="between" allowBlank="1" showInputMessage="1" showErrorMessage="1" sqref="C965:C968 C1263:C1272 C1306:C1308">
      <formula1>-99999999999999</formula1>
      <formula2>99999999999999</formula2>
    </dataValidation>
  </dataValidations>
  <printOptions horizontalCentered="1" verticalCentered="1"/>
  <pageMargins left="0.708661417322835" right="0.708661417322835" top="0.551181102362205" bottom="0.551181102362205" header="0.31496062992126" footer="0.31496062992126"/>
  <pageSetup paperSize="9" scale="55" fitToHeight="50" orientation="portrait" blackAndWhite="1"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42"/>
  <sheetViews>
    <sheetView workbookViewId="0">
      <selection activeCell="Q8" sqref="Q8"/>
    </sheetView>
  </sheetViews>
  <sheetFormatPr defaultColWidth="9" defaultRowHeight="15.75"/>
  <cols>
    <col min="1" max="1" width="9" style="268"/>
    <col min="2" max="2" width="37.25" style="269" customWidth="1"/>
    <col min="3" max="3" width="13.375" style="269" customWidth="1"/>
    <col min="4" max="4" width="12.5" style="270" customWidth="1"/>
    <col min="5" max="8" width="12.5" style="270" hidden="1" customWidth="1"/>
    <col min="9" max="9" width="12.375" style="271" hidden="1" customWidth="1"/>
    <col min="10" max="10" width="12.375" style="269" customWidth="1"/>
    <col min="11" max="12" width="9" style="164" hidden="1" customWidth="1"/>
    <col min="13" max="13" width="11.375" style="272" hidden="1" customWidth="1"/>
    <col min="14" max="14" width="4.86666666666667" style="272" hidden="1" customWidth="1"/>
    <col min="15" max="15" width="6.65833333333333" style="272" hidden="1" customWidth="1"/>
    <col min="16" max="16" width="21.6666666666667" style="273" hidden="1" customWidth="1"/>
    <col min="17" max="17" width="33.25" style="140" customWidth="1"/>
    <col min="18" max="20" width="9" style="140" customWidth="1"/>
    <col min="21" max="16384" width="9" style="140"/>
  </cols>
  <sheetData>
    <row r="1" s="143" customFormat="1" ht="20.25" spans="1:16">
      <c r="A1" s="684" t="s">
        <v>3547</v>
      </c>
      <c r="B1" s="275"/>
      <c r="C1" s="275"/>
      <c r="D1" s="275"/>
      <c r="E1" s="275"/>
      <c r="F1" s="275"/>
      <c r="G1" s="275"/>
      <c r="H1" s="275"/>
      <c r="I1" s="291"/>
      <c r="J1" s="275"/>
      <c r="K1" s="292"/>
      <c r="L1" s="292"/>
      <c r="M1" s="304"/>
      <c r="N1" s="304"/>
      <c r="O1" s="304"/>
      <c r="P1" s="305"/>
    </row>
    <row r="2" s="106" customFormat="1" ht="20.25" customHeight="1" spans="1:16">
      <c r="A2" s="276"/>
      <c r="B2" s="277"/>
      <c r="C2" s="277"/>
      <c r="D2" s="278"/>
      <c r="E2" s="278"/>
      <c r="F2" s="278"/>
      <c r="G2" s="278"/>
      <c r="H2" s="278"/>
      <c r="I2" s="293" t="s">
        <v>1446</v>
      </c>
      <c r="J2" s="252" t="s">
        <v>85</v>
      </c>
      <c r="K2" s="294"/>
      <c r="L2" s="294"/>
      <c r="M2" s="306"/>
      <c r="N2" s="306"/>
      <c r="O2" s="306"/>
      <c r="P2" s="307"/>
    </row>
    <row r="3" s="106" customFormat="1" ht="36" customHeight="1" spans="1:16">
      <c r="A3" s="279" t="s">
        <v>1448</v>
      </c>
      <c r="B3" s="42" t="s">
        <v>89</v>
      </c>
      <c r="C3" s="656" t="s">
        <v>1373</v>
      </c>
      <c r="D3" s="42" t="s">
        <v>1449</v>
      </c>
      <c r="E3" s="685" t="s">
        <v>1450</v>
      </c>
      <c r="F3" s="290" t="s">
        <v>1451</v>
      </c>
      <c r="G3" s="290" t="s">
        <v>1452</v>
      </c>
      <c r="H3" s="686" t="s">
        <v>1453</v>
      </c>
      <c r="I3" s="687" t="s">
        <v>1454</v>
      </c>
      <c r="J3" s="147" t="s">
        <v>1455</v>
      </c>
      <c r="K3" s="294"/>
      <c r="L3" s="44" t="s">
        <v>3548</v>
      </c>
      <c r="M3" s="308" t="s">
        <v>3549</v>
      </c>
      <c r="N3" s="308" t="s">
        <v>3550</v>
      </c>
      <c r="O3" s="308" t="s">
        <v>3551</v>
      </c>
      <c r="P3" s="309" t="s">
        <v>3552</v>
      </c>
    </row>
    <row r="4" s="107" customFormat="1" ht="20.1" customHeight="1" spans="1:16">
      <c r="A4" s="280" t="s">
        <v>505</v>
      </c>
      <c r="B4" s="281" t="s">
        <v>506</v>
      </c>
      <c r="C4" s="282">
        <f t="shared" ref="C4:I4" si="0">C5+C17+C26+C36+C47+C58+C69+C77+C86+C99+C108+C119+C131+C138+C146+C152+C159+C166+C173+C180+C187+C201+C207+C214+C249+C236+C195+C229+C243</f>
        <v>22455</v>
      </c>
      <c r="D4" s="282">
        <f t="shared" ref="D4:D67" si="1">SUM(E4:I4)</f>
        <v>26275</v>
      </c>
      <c r="E4" s="282">
        <f t="shared" si="0"/>
        <v>385</v>
      </c>
      <c r="F4" s="282">
        <f t="shared" si="0"/>
        <v>79</v>
      </c>
      <c r="G4" s="282">
        <f t="shared" si="0"/>
        <v>735</v>
      </c>
      <c r="H4" s="282">
        <f t="shared" si="0"/>
        <v>4964</v>
      </c>
      <c r="I4" s="282">
        <f t="shared" si="0"/>
        <v>20112</v>
      </c>
      <c r="J4" s="296">
        <f t="shared" ref="J4:J67" si="2">ROUND(IF(C4=0,IF(D4=0,0,1),IF(D4=0,-1,D4/C4)),4)*100</f>
        <v>117.01</v>
      </c>
      <c r="K4" s="297" t="s">
        <v>3550</v>
      </c>
      <c r="L4" s="298"/>
      <c r="M4" s="310" t="s">
        <v>505</v>
      </c>
      <c r="N4" s="310" t="s">
        <v>505</v>
      </c>
      <c r="O4" s="310"/>
      <c r="P4" s="311" t="s">
        <v>3553</v>
      </c>
    </row>
    <row r="5" s="107" customFormat="1" ht="20.1" customHeight="1" spans="1:16">
      <c r="A5" s="283" t="s">
        <v>507</v>
      </c>
      <c r="B5" s="284" t="s">
        <v>1456</v>
      </c>
      <c r="C5" s="285">
        <f t="shared" ref="C5:I5" si="3">SUM(C6:C16)</f>
        <v>670</v>
      </c>
      <c r="D5" s="285">
        <f t="shared" si="1"/>
        <v>787</v>
      </c>
      <c r="E5" s="285">
        <f t="shared" si="3"/>
        <v>30</v>
      </c>
      <c r="F5" s="285">
        <f t="shared" si="3"/>
        <v>0</v>
      </c>
      <c r="G5" s="285">
        <f t="shared" si="3"/>
        <v>20</v>
      </c>
      <c r="H5" s="285">
        <f t="shared" si="3"/>
        <v>0</v>
      </c>
      <c r="I5" s="285">
        <f t="shared" si="3"/>
        <v>737</v>
      </c>
      <c r="J5" s="299">
        <f t="shared" si="2"/>
        <v>117.46</v>
      </c>
      <c r="K5" s="300" t="s">
        <v>3551</v>
      </c>
      <c r="L5" s="301"/>
      <c r="M5" s="312" t="s">
        <v>507</v>
      </c>
      <c r="N5" s="312" t="s">
        <v>505</v>
      </c>
      <c r="O5" s="312" t="s">
        <v>507</v>
      </c>
      <c r="P5" s="313" t="s">
        <v>3554</v>
      </c>
    </row>
    <row r="6" s="106" customFormat="1" ht="20.1" customHeight="1" spans="1:16">
      <c r="A6" s="279" t="s">
        <v>1457</v>
      </c>
      <c r="B6" s="286" t="s">
        <v>1458</v>
      </c>
      <c r="C6" s="287">
        <v>583</v>
      </c>
      <c r="D6" s="288">
        <f t="shared" si="1"/>
        <v>463</v>
      </c>
      <c r="E6" s="287"/>
      <c r="F6" s="287"/>
      <c r="G6" s="287"/>
      <c r="H6" s="287"/>
      <c r="I6" s="302">
        <v>463</v>
      </c>
      <c r="J6" s="303">
        <f t="shared" si="2"/>
        <v>79.42</v>
      </c>
      <c r="K6" s="294" t="s">
        <v>3555</v>
      </c>
      <c r="L6" s="44">
        <v>1</v>
      </c>
      <c r="M6" s="308" t="s">
        <v>1457</v>
      </c>
      <c r="N6" s="308"/>
      <c r="O6" s="308" t="s">
        <v>507</v>
      </c>
      <c r="P6" s="314" t="s">
        <v>3556</v>
      </c>
    </row>
    <row r="7" s="106" customFormat="1" ht="20.1" customHeight="1" spans="1:16">
      <c r="A7" s="279" t="s">
        <v>1459</v>
      </c>
      <c r="B7" s="286" t="s">
        <v>1460</v>
      </c>
      <c r="C7" s="287"/>
      <c r="D7" s="288">
        <f t="shared" si="1"/>
        <v>0</v>
      </c>
      <c r="E7" s="287"/>
      <c r="F7" s="287"/>
      <c r="G7" s="287"/>
      <c r="H7" s="287"/>
      <c r="I7" s="302"/>
      <c r="J7" s="303">
        <f t="shared" si="2"/>
        <v>0</v>
      </c>
      <c r="K7" s="294" t="s">
        <v>3555</v>
      </c>
      <c r="L7" s="44">
        <v>1</v>
      </c>
      <c r="M7" s="308" t="s">
        <v>1459</v>
      </c>
      <c r="N7" s="308"/>
      <c r="O7" s="308" t="s">
        <v>507</v>
      </c>
      <c r="P7" s="314" t="s">
        <v>3557</v>
      </c>
    </row>
    <row r="8" s="106" customFormat="1" ht="20.1" customHeight="1" spans="1:16">
      <c r="A8" s="279" t="s">
        <v>1461</v>
      </c>
      <c r="B8" s="289" t="s">
        <v>1462</v>
      </c>
      <c r="C8" s="287"/>
      <c r="D8" s="288">
        <f t="shared" si="1"/>
        <v>0</v>
      </c>
      <c r="E8" s="287"/>
      <c r="F8" s="287"/>
      <c r="G8" s="287"/>
      <c r="H8" s="287"/>
      <c r="I8" s="302"/>
      <c r="J8" s="303">
        <f t="shared" si="2"/>
        <v>0</v>
      </c>
      <c r="K8" s="294" t="s">
        <v>3555</v>
      </c>
      <c r="L8" s="44">
        <v>1</v>
      </c>
      <c r="M8" s="308" t="s">
        <v>1461</v>
      </c>
      <c r="N8" s="308"/>
      <c r="O8" s="308" t="s">
        <v>507</v>
      </c>
      <c r="P8" s="314" t="s">
        <v>3558</v>
      </c>
    </row>
    <row r="9" s="106" customFormat="1" ht="20.1" customHeight="1" spans="1:16">
      <c r="A9" s="279" t="s">
        <v>1463</v>
      </c>
      <c r="B9" s="289" t="s">
        <v>1464</v>
      </c>
      <c r="C9" s="287">
        <v>46</v>
      </c>
      <c r="D9" s="288">
        <f t="shared" si="1"/>
        <v>61</v>
      </c>
      <c r="E9" s="287"/>
      <c r="F9" s="287"/>
      <c r="G9" s="287"/>
      <c r="H9" s="287"/>
      <c r="I9" s="302">
        <v>61</v>
      </c>
      <c r="J9" s="303">
        <f t="shared" si="2"/>
        <v>132.61</v>
      </c>
      <c r="K9" s="294" t="s">
        <v>3555</v>
      </c>
      <c r="L9" s="44">
        <v>1</v>
      </c>
      <c r="M9" s="308" t="s">
        <v>1463</v>
      </c>
      <c r="N9" s="308"/>
      <c r="O9" s="308" t="s">
        <v>507</v>
      </c>
      <c r="P9" s="309" t="s">
        <v>3559</v>
      </c>
    </row>
    <row r="10" s="106" customFormat="1" ht="20.1" customHeight="1" spans="1:16">
      <c r="A10" s="279" t="s">
        <v>1465</v>
      </c>
      <c r="B10" s="289" t="s">
        <v>1466</v>
      </c>
      <c r="C10" s="287">
        <v>22</v>
      </c>
      <c r="D10" s="288">
        <f t="shared" si="1"/>
        <v>35</v>
      </c>
      <c r="E10" s="287"/>
      <c r="F10" s="287"/>
      <c r="G10" s="287">
        <v>5</v>
      </c>
      <c r="H10" s="287"/>
      <c r="I10" s="302">
        <v>30</v>
      </c>
      <c r="J10" s="303">
        <f t="shared" si="2"/>
        <v>159.09</v>
      </c>
      <c r="K10" s="294" t="s">
        <v>3555</v>
      </c>
      <c r="L10" s="44">
        <v>1</v>
      </c>
      <c r="M10" s="308" t="s">
        <v>1465</v>
      </c>
      <c r="N10" s="308"/>
      <c r="O10" s="308" t="s">
        <v>507</v>
      </c>
      <c r="P10" s="309" t="s">
        <v>3560</v>
      </c>
    </row>
    <row r="11" s="106" customFormat="1" ht="20.1" customHeight="1" spans="1:16">
      <c r="A11" s="279" t="s">
        <v>1467</v>
      </c>
      <c r="B11" s="41" t="s">
        <v>1468</v>
      </c>
      <c r="C11" s="287">
        <v>2</v>
      </c>
      <c r="D11" s="288">
        <f t="shared" si="1"/>
        <v>10</v>
      </c>
      <c r="E11" s="287"/>
      <c r="F11" s="287"/>
      <c r="G11" s="287"/>
      <c r="H11" s="287"/>
      <c r="I11" s="302">
        <v>10</v>
      </c>
      <c r="J11" s="303">
        <f t="shared" si="2"/>
        <v>500</v>
      </c>
      <c r="K11" s="294" t="s">
        <v>3555</v>
      </c>
      <c r="L11" s="44">
        <v>1</v>
      </c>
      <c r="M11" s="308" t="s">
        <v>1467</v>
      </c>
      <c r="N11" s="308"/>
      <c r="O11" s="308" t="s">
        <v>507</v>
      </c>
      <c r="P11" s="309" t="s">
        <v>3561</v>
      </c>
    </row>
    <row r="12" s="106" customFormat="1" ht="20.1" customHeight="1" spans="1:16">
      <c r="A12" s="279" t="s">
        <v>1469</v>
      </c>
      <c r="B12" s="41" t="s">
        <v>1470</v>
      </c>
      <c r="C12" s="287">
        <v>4</v>
      </c>
      <c r="D12" s="288">
        <f t="shared" si="1"/>
        <v>140</v>
      </c>
      <c r="E12" s="287"/>
      <c r="F12" s="287"/>
      <c r="G12" s="287"/>
      <c r="H12" s="287"/>
      <c r="I12" s="302">
        <v>140</v>
      </c>
      <c r="J12" s="303">
        <f t="shared" si="2"/>
        <v>3500</v>
      </c>
      <c r="K12" s="294" t="s">
        <v>3555</v>
      </c>
      <c r="L12" s="44">
        <v>1</v>
      </c>
      <c r="M12" s="308" t="s">
        <v>1469</v>
      </c>
      <c r="N12" s="308"/>
      <c r="O12" s="308" t="s">
        <v>507</v>
      </c>
      <c r="P12" s="309" t="s">
        <v>3562</v>
      </c>
    </row>
    <row r="13" s="106" customFormat="1" ht="20.1" customHeight="1" spans="1:16">
      <c r="A13" s="279" t="s">
        <v>1471</v>
      </c>
      <c r="B13" s="41" t="s">
        <v>1472</v>
      </c>
      <c r="C13" s="287"/>
      <c r="D13" s="288">
        <f t="shared" si="1"/>
        <v>15</v>
      </c>
      <c r="E13" s="287"/>
      <c r="F13" s="287"/>
      <c r="G13" s="287"/>
      <c r="H13" s="287"/>
      <c r="I13" s="302">
        <v>15</v>
      </c>
      <c r="J13" s="303">
        <f t="shared" si="2"/>
        <v>100</v>
      </c>
      <c r="K13" s="294" t="s">
        <v>3555</v>
      </c>
      <c r="L13" s="44">
        <v>1</v>
      </c>
      <c r="M13" s="308" t="s">
        <v>1471</v>
      </c>
      <c r="N13" s="308"/>
      <c r="O13" s="308" t="s">
        <v>507</v>
      </c>
      <c r="P13" s="309" t="s">
        <v>3563</v>
      </c>
    </row>
    <row r="14" s="106" customFormat="1" ht="20.1" customHeight="1" spans="1:16">
      <c r="A14" s="279" t="s">
        <v>1473</v>
      </c>
      <c r="B14" s="41" t="s">
        <v>1474</v>
      </c>
      <c r="C14" s="287"/>
      <c r="D14" s="288">
        <f t="shared" si="1"/>
        <v>0</v>
      </c>
      <c r="E14" s="287"/>
      <c r="F14" s="287"/>
      <c r="G14" s="287"/>
      <c r="H14" s="287"/>
      <c r="I14" s="302"/>
      <c r="J14" s="303">
        <f t="shared" si="2"/>
        <v>0</v>
      </c>
      <c r="K14" s="294" t="s">
        <v>3555</v>
      </c>
      <c r="L14" s="44">
        <v>1</v>
      </c>
      <c r="M14" s="308" t="s">
        <v>1473</v>
      </c>
      <c r="N14" s="308"/>
      <c r="O14" s="308" t="s">
        <v>507</v>
      </c>
      <c r="P14" s="309" t="s">
        <v>3564</v>
      </c>
    </row>
    <row r="15" s="106" customFormat="1" ht="20.1" customHeight="1" spans="1:19">
      <c r="A15" s="279" t="s">
        <v>1475</v>
      </c>
      <c r="B15" s="41" t="s">
        <v>1476</v>
      </c>
      <c r="C15" s="287">
        <v>4</v>
      </c>
      <c r="D15" s="288">
        <f t="shared" si="1"/>
        <v>18</v>
      </c>
      <c r="E15" s="287"/>
      <c r="F15" s="287"/>
      <c r="G15" s="287"/>
      <c r="H15" s="287"/>
      <c r="I15" s="302">
        <v>18</v>
      </c>
      <c r="J15" s="303">
        <f t="shared" si="2"/>
        <v>450</v>
      </c>
      <c r="K15" s="294" t="s">
        <v>3555</v>
      </c>
      <c r="L15" s="44">
        <v>1</v>
      </c>
      <c r="M15" s="308" t="s">
        <v>1475</v>
      </c>
      <c r="N15" s="308"/>
      <c r="O15" s="308" t="s">
        <v>507</v>
      </c>
      <c r="P15" s="314" t="s">
        <v>3565</v>
      </c>
      <c r="S15" s="106" t="s">
        <v>1477</v>
      </c>
    </row>
    <row r="16" s="106" customFormat="1" ht="20.1" customHeight="1" spans="1:16">
      <c r="A16" s="279" t="s">
        <v>1478</v>
      </c>
      <c r="B16" s="41" t="s">
        <v>1479</v>
      </c>
      <c r="C16" s="287">
        <v>9</v>
      </c>
      <c r="D16" s="288">
        <f t="shared" si="1"/>
        <v>45</v>
      </c>
      <c r="E16" s="287">
        <v>30</v>
      </c>
      <c r="F16" s="287"/>
      <c r="G16" s="287">
        <v>15</v>
      </c>
      <c r="H16" s="287"/>
      <c r="I16" s="302"/>
      <c r="J16" s="303">
        <f t="shared" si="2"/>
        <v>500</v>
      </c>
      <c r="K16" s="294" t="s">
        <v>3555</v>
      </c>
      <c r="L16" s="44">
        <v>1</v>
      </c>
      <c r="M16" s="308" t="s">
        <v>1478</v>
      </c>
      <c r="N16" s="308"/>
      <c r="O16" s="308" t="s">
        <v>507</v>
      </c>
      <c r="P16" s="309" t="s">
        <v>3566</v>
      </c>
    </row>
    <row r="17" s="107" customFormat="1" ht="20.1" customHeight="1" spans="1:16">
      <c r="A17" s="283" t="s">
        <v>508</v>
      </c>
      <c r="B17" s="284" t="s">
        <v>1480</v>
      </c>
      <c r="C17" s="285">
        <f t="shared" ref="C17:I17" si="4">SUM(C18:C25)</f>
        <v>330</v>
      </c>
      <c r="D17" s="285">
        <f t="shared" si="1"/>
        <v>342</v>
      </c>
      <c r="E17" s="285">
        <f t="shared" si="4"/>
        <v>0</v>
      </c>
      <c r="F17" s="285">
        <f t="shared" si="4"/>
        <v>0</v>
      </c>
      <c r="G17" s="285">
        <f t="shared" si="4"/>
        <v>0</v>
      </c>
      <c r="H17" s="285">
        <f t="shared" si="4"/>
        <v>0</v>
      </c>
      <c r="I17" s="285">
        <f t="shared" si="4"/>
        <v>342</v>
      </c>
      <c r="J17" s="299">
        <f t="shared" si="2"/>
        <v>103.64</v>
      </c>
      <c r="K17" s="300" t="s">
        <v>3551</v>
      </c>
      <c r="L17" s="301"/>
      <c r="M17" s="312" t="s">
        <v>508</v>
      </c>
      <c r="N17" s="312" t="s">
        <v>505</v>
      </c>
      <c r="O17" s="312" t="s">
        <v>508</v>
      </c>
      <c r="P17" s="313" t="s">
        <v>3567</v>
      </c>
    </row>
    <row r="18" s="106" customFormat="1" ht="20.1" customHeight="1" spans="1:16">
      <c r="A18" s="279" t="s">
        <v>1481</v>
      </c>
      <c r="B18" s="286" t="s">
        <v>1458</v>
      </c>
      <c r="C18" s="287">
        <v>287</v>
      </c>
      <c r="D18" s="288">
        <f t="shared" si="1"/>
        <v>275</v>
      </c>
      <c r="E18" s="287"/>
      <c r="F18" s="287"/>
      <c r="G18" s="287"/>
      <c r="H18" s="287"/>
      <c r="I18" s="302">
        <v>275</v>
      </c>
      <c r="J18" s="303">
        <f t="shared" si="2"/>
        <v>95.82</v>
      </c>
      <c r="K18" s="294" t="s">
        <v>3555</v>
      </c>
      <c r="L18" s="44">
        <v>1</v>
      </c>
      <c r="M18" s="308" t="s">
        <v>1481</v>
      </c>
      <c r="N18" s="308"/>
      <c r="O18" s="308" t="s">
        <v>508</v>
      </c>
      <c r="P18" s="314" t="s">
        <v>3556</v>
      </c>
    </row>
    <row r="19" s="106" customFormat="1" ht="20.1" customHeight="1" spans="1:16">
      <c r="A19" s="279" t="s">
        <v>1482</v>
      </c>
      <c r="B19" s="286" t="s">
        <v>1460</v>
      </c>
      <c r="C19" s="287">
        <v>20</v>
      </c>
      <c r="D19" s="288">
        <f t="shared" si="1"/>
        <v>0</v>
      </c>
      <c r="E19" s="287"/>
      <c r="F19" s="287"/>
      <c r="G19" s="287"/>
      <c r="H19" s="287"/>
      <c r="I19" s="302"/>
      <c r="J19" s="303">
        <f t="shared" si="2"/>
        <v>-100</v>
      </c>
      <c r="K19" s="294" t="s">
        <v>3555</v>
      </c>
      <c r="L19" s="44">
        <v>1</v>
      </c>
      <c r="M19" s="308" t="s">
        <v>1482</v>
      </c>
      <c r="N19" s="308"/>
      <c r="O19" s="308" t="s">
        <v>508</v>
      </c>
      <c r="P19" s="314" t="s">
        <v>3557</v>
      </c>
    </row>
    <row r="20" s="106" customFormat="1" ht="20.1" customHeight="1" spans="1:16">
      <c r="A20" s="279" t="s">
        <v>1483</v>
      </c>
      <c r="B20" s="289" t="s">
        <v>1462</v>
      </c>
      <c r="C20" s="287"/>
      <c r="D20" s="288">
        <f t="shared" si="1"/>
        <v>0</v>
      </c>
      <c r="E20" s="287"/>
      <c r="F20" s="287"/>
      <c r="G20" s="287"/>
      <c r="H20" s="287"/>
      <c r="I20" s="302"/>
      <c r="J20" s="303">
        <f t="shared" si="2"/>
        <v>0</v>
      </c>
      <c r="K20" s="294" t="s">
        <v>3555</v>
      </c>
      <c r="L20" s="44">
        <v>1</v>
      </c>
      <c r="M20" s="308" t="s">
        <v>1483</v>
      </c>
      <c r="N20" s="308"/>
      <c r="O20" s="308" t="s">
        <v>508</v>
      </c>
      <c r="P20" s="314" t="s">
        <v>3558</v>
      </c>
    </row>
    <row r="21" s="106" customFormat="1" ht="20.1" customHeight="1" spans="1:16">
      <c r="A21" s="279" t="s">
        <v>1484</v>
      </c>
      <c r="B21" s="289" t="s">
        <v>1485</v>
      </c>
      <c r="C21" s="287">
        <v>21</v>
      </c>
      <c r="D21" s="288">
        <f t="shared" si="1"/>
        <v>21</v>
      </c>
      <c r="E21" s="287"/>
      <c r="F21" s="287"/>
      <c r="G21" s="287"/>
      <c r="H21" s="287"/>
      <c r="I21" s="302">
        <v>21</v>
      </c>
      <c r="J21" s="303">
        <f t="shared" si="2"/>
        <v>100</v>
      </c>
      <c r="K21" s="294" t="s">
        <v>3555</v>
      </c>
      <c r="L21" s="44">
        <v>1</v>
      </c>
      <c r="M21" s="308" t="s">
        <v>1484</v>
      </c>
      <c r="N21" s="308"/>
      <c r="O21" s="308" t="s">
        <v>508</v>
      </c>
      <c r="P21" s="309" t="s">
        <v>3568</v>
      </c>
    </row>
    <row r="22" s="106" customFormat="1" ht="20.1" customHeight="1" spans="1:16">
      <c r="A22" s="279" t="s">
        <v>1486</v>
      </c>
      <c r="B22" s="289" t="s">
        <v>1487</v>
      </c>
      <c r="C22" s="287"/>
      <c r="D22" s="288">
        <f t="shared" si="1"/>
        <v>36</v>
      </c>
      <c r="E22" s="287"/>
      <c r="F22" s="287"/>
      <c r="G22" s="287"/>
      <c r="H22" s="287"/>
      <c r="I22" s="302">
        <v>36</v>
      </c>
      <c r="J22" s="303">
        <f t="shared" si="2"/>
        <v>100</v>
      </c>
      <c r="K22" s="294" t="s">
        <v>3555</v>
      </c>
      <c r="L22" s="44">
        <v>1</v>
      </c>
      <c r="M22" s="308" t="s">
        <v>1486</v>
      </c>
      <c r="N22" s="308"/>
      <c r="O22" s="308" t="s">
        <v>508</v>
      </c>
      <c r="P22" s="309" t="s">
        <v>3569</v>
      </c>
    </row>
    <row r="23" s="106" customFormat="1" ht="20.1" customHeight="1" spans="1:16">
      <c r="A23" s="279" t="s">
        <v>1488</v>
      </c>
      <c r="B23" s="289" t="s">
        <v>1489</v>
      </c>
      <c r="C23" s="287">
        <v>2</v>
      </c>
      <c r="D23" s="288">
        <f t="shared" si="1"/>
        <v>0</v>
      </c>
      <c r="E23" s="287"/>
      <c r="F23" s="287"/>
      <c r="G23" s="287"/>
      <c r="H23" s="287"/>
      <c r="I23" s="302"/>
      <c r="J23" s="303">
        <f t="shared" si="2"/>
        <v>-100</v>
      </c>
      <c r="K23" s="294" t="s">
        <v>3555</v>
      </c>
      <c r="L23" s="44">
        <v>1</v>
      </c>
      <c r="M23" s="308" t="s">
        <v>1488</v>
      </c>
      <c r="N23" s="308"/>
      <c r="O23" s="308" t="s">
        <v>508</v>
      </c>
      <c r="P23" s="314" t="s">
        <v>3570</v>
      </c>
    </row>
    <row r="24" s="106" customFormat="1" ht="20.1" customHeight="1" spans="1:16">
      <c r="A24" s="279" t="s">
        <v>1490</v>
      </c>
      <c r="B24" s="289" t="s">
        <v>1476</v>
      </c>
      <c r="C24" s="287"/>
      <c r="D24" s="288">
        <f t="shared" si="1"/>
        <v>0</v>
      </c>
      <c r="E24" s="287"/>
      <c r="F24" s="287"/>
      <c r="G24" s="287"/>
      <c r="H24" s="287"/>
      <c r="I24" s="302"/>
      <c r="J24" s="303">
        <f t="shared" si="2"/>
        <v>0</v>
      </c>
      <c r="K24" s="294" t="s">
        <v>3555</v>
      </c>
      <c r="L24" s="44">
        <v>1</v>
      </c>
      <c r="M24" s="308" t="s">
        <v>1490</v>
      </c>
      <c r="N24" s="308"/>
      <c r="O24" s="308" t="s">
        <v>508</v>
      </c>
      <c r="P24" s="314" t="s">
        <v>3565</v>
      </c>
    </row>
    <row r="25" s="106" customFormat="1" ht="20.1" customHeight="1" spans="1:16">
      <c r="A25" s="279" t="s">
        <v>1491</v>
      </c>
      <c r="B25" s="289" t="s">
        <v>1492</v>
      </c>
      <c r="C25" s="287"/>
      <c r="D25" s="288">
        <f t="shared" si="1"/>
        <v>10</v>
      </c>
      <c r="E25" s="287"/>
      <c r="F25" s="287"/>
      <c r="G25" s="287"/>
      <c r="H25" s="287"/>
      <c r="I25" s="302">
        <v>10</v>
      </c>
      <c r="J25" s="303">
        <f t="shared" si="2"/>
        <v>100</v>
      </c>
      <c r="K25" s="294" t="s">
        <v>3555</v>
      </c>
      <c r="L25" s="44">
        <v>1</v>
      </c>
      <c r="M25" s="308" t="s">
        <v>1491</v>
      </c>
      <c r="N25" s="308"/>
      <c r="O25" s="308" t="s">
        <v>508</v>
      </c>
      <c r="P25" s="309" t="s">
        <v>3571</v>
      </c>
    </row>
    <row r="26" s="107" customFormat="1" ht="20.1" customHeight="1" spans="1:16">
      <c r="A26" s="283" t="s">
        <v>509</v>
      </c>
      <c r="B26" s="284" t="s">
        <v>1493</v>
      </c>
      <c r="C26" s="285">
        <f t="shared" ref="C26:I26" si="5">SUM(C27:C35)</f>
        <v>10503</v>
      </c>
      <c r="D26" s="285">
        <f t="shared" si="1"/>
        <v>10212</v>
      </c>
      <c r="E26" s="285">
        <f t="shared" si="5"/>
        <v>0</v>
      </c>
      <c r="F26" s="285">
        <f t="shared" si="5"/>
        <v>0</v>
      </c>
      <c r="G26" s="285">
        <f t="shared" si="5"/>
        <v>0</v>
      </c>
      <c r="H26" s="285">
        <f t="shared" si="5"/>
        <v>0</v>
      </c>
      <c r="I26" s="285">
        <f t="shared" si="5"/>
        <v>10212</v>
      </c>
      <c r="J26" s="299">
        <f t="shared" si="2"/>
        <v>97.23</v>
      </c>
      <c r="K26" s="300" t="s">
        <v>3551</v>
      </c>
      <c r="L26" s="301"/>
      <c r="M26" s="312" t="s">
        <v>509</v>
      </c>
      <c r="N26" s="312" t="s">
        <v>505</v>
      </c>
      <c r="O26" s="312" t="s">
        <v>509</v>
      </c>
      <c r="P26" s="313" t="s">
        <v>3572</v>
      </c>
    </row>
    <row r="27" s="106" customFormat="1" ht="20.1" customHeight="1" spans="1:16">
      <c r="A27" s="279" t="s">
        <v>1494</v>
      </c>
      <c r="B27" s="286" t="s">
        <v>1458</v>
      </c>
      <c r="C27" s="287">
        <v>6563</v>
      </c>
      <c r="D27" s="288">
        <f t="shared" si="1"/>
        <v>6022</v>
      </c>
      <c r="E27" s="287"/>
      <c r="F27" s="287"/>
      <c r="G27" s="287"/>
      <c r="H27" s="287"/>
      <c r="I27" s="302">
        <v>6022</v>
      </c>
      <c r="J27" s="303">
        <f t="shared" si="2"/>
        <v>91.76</v>
      </c>
      <c r="K27" s="294" t="s">
        <v>3555</v>
      </c>
      <c r="L27" s="44">
        <v>1</v>
      </c>
      <c r="M27" s="308" t="s">
        <v>1494</v>
      </c>
      <c r="N27" s="308"/>
      <c r="O27" s="308" t="s">
        <v>509</v>
      </c>
      <c r="P27" s="314" t="s">
        <v>3556</v>
      </c>
    </row>
    <row r="28" s="106" customFormat="1" ht="20.1" customHeight="1" spans="1:16">
      <c r="A28" s="279" t="s">
        <v>1495</v>
      </c>
      <c r="B28" s="286" t="s">
        <v>1460</v>
      </c>
      <c r="C28" s="287"/>
      <c r="D28" s="288">
        <f t="shared" si="1"/>
        <v>0</v>
      </c>
      <c r="E28" s="287"/>
      <c r="F28" s="287"/>
      <c r="G28" s="287"/>
      <c r="H28" s="287"/>
      <c r="I28" s="302"/>
      <c r="J28" s="303">
        <f t="shared" si="2"/>
        <v>0</v>
      </c>
      <c r="K28" s="294" t="s">
        <v>3555</v>
      </c>
      <c r="L28" s="44">
        <v>1</v>
      </c>
      <c r="M28" s="308" t="s">
        <v>1495</v>
      </c>
      <c r="N28" s="308"/>
      <c r="O28" s="308" t="s">
        <v>509</v>
      </c>
      <c r="P28" s="314" t="s">
        <v>3557</v>
      </c>
    </row>
    <row r="29" s="106" customFormat="1" ht="20.1" customHeight="1" spans="1:16">
      <c r="A29" s="279" t="s">
        <v>1496</v>
      </c>
      <c r="B29" s="289" t="s">
        <v>1462</v>
      </c>
      <c r="C29" s="287">
        <v>980</v>
      </c>
      <c r="D29" s="288">
        <f t="shared" si="1"/>
        <v>837</v>
      </c>
      <c r="E29" s="287"/>
      <c r="F29" s="287"/>
      <c r="G29" s="287"/>
      <c r="H29" s="287"/>
      <c r="I29" s="302">
        <v>837</v>
      </c>
      <c r="J29" s="303">
        <f t="shared" si="2"/>
        <v>85.41</v>
      </c>
      <c r="K29" s="294" t="s">
        <v>3555</v>
      </c>
      <c r="L29" s="44">
        <v>1</v>
      </c>
      <c r="M29" s="308" t="s">
        <v>1496</v>
      </c>
      <c r="N29" s="308"/>
      <c r="O29" s="308" t="s">
        <v>509</v>
      </c>
      <c r="P29" s="314" t="s">
        <v>3558</v>
      </c>
    </row>
    <row r="30" s="106" customFormat="1" ht="20.1" customHeight="1" spans="1:16">
      <c r="A30" s="279" t="s">
        <v>1497</v>
      </c>
      <c r="B30" s="289" t="s">
        <v>1498</v>
      </c>
      <c r="C30" s="287"/>
      <c r="D30" s="288">
        <f t="shared" si="1"/>
        <v>0</v>
      </c>
      <c r="E30" s="287"/>
      <c r="F30" s="287"/>
      <c r="G30" s="287"/>
      <c r="H30" s="287"/>
      <c r="I30" s="302"/>
      <c r="J30" s="303">
        <f t="shared" si="2"/>
        <v>0</v>
      </c>
      <c r="K30" s="294" t="s">
        <v>3555</v>
      </c>
      <c r="L30" s="44">
        <v>1</v>
      </c>
      <c r="M30" s="308" t="s">
        <v>1497</v>
      </c>
      <c r="N30" s="308"/>
      <c r="O30" s="308" t="s">
        <v>509</v>
      </c>
      <c r="P30" s="309" t="s">
        <v>3573</v>
      </c>
    </row>
    <row r="31" s="106" customFormat="1" ht="20.1" customHeight="1" spans="1:16">
      <c r="A31" s="279" t="s">
        <v>1499</v>
      </c>
      <c r="B31" s="289" t="s">
        <v>1500</v>
      </c>
      <c r="C31" s="287"/>
      <c r="D31" s="288">
        <f t="shared" si="1"/>
        <v>0</v>
      </c>
      <c r="E31" s="287"/>
      <c r="F31" s="287"/>
      <c r="G31" s="287"/>
      <c r="H31" s="287"/>
      <c r="I31" s="302"/>
      <c r="J31" s="303">
        <f t="shared" si="2"/>
        <v>0</v>
      </c>
      <c r="K31" s="294" t="s">
        <v>3555</v>
      </c>
      <c r="L31" s="44">
        <v>1</v>
      </c>
      <c r="M31" s="308" t="s">
        <v>1499</v>
      </c>
      <c r="N31" s="308"/>
      <c r="O31" s="308" t="s">
        <v>509</v>
      </c>
      <c r="P31" s="309" t="s">
        <v>3574</v>
      </c>
    </row>
    <row r="32" s="106" customFormat="1" ht="20.1" customHeight="1" spans="1:16">
      <c r="A32" s="279" t="s">
        <v>1501</v>
      </c>
      <c r="B32" s="286" t="s">
        <v>1502</v>
      </c>
      <c r="C32" s="287">
        <v>349</v>
      </c>
      <c r="D32" s="288">
        <f t="shared" si="1"/>
        <v>409</v>
      </c>
      <c r="E32" s="287"/>
      <c r="F32" s="287"/>
      <c r="G32" s="287"/>
      <c r="H32" s="287"/>
      <c r="I32" s="302">
        <v>409</v>
      </c>
      <c r="J32" s="303">
        <f t="shared" si="2"/>
        <v>117.19</v>
      </c>
      <c r="K32" s="294" t="s">
        <v>3555</v>
      </c>
      <c r="L32" s="44">
        <v>1</v>
      </c>
      <c r="M32" s="308" t="s">
        <v>1501</v>
      </c>
      <c r="N32" s="308"/>
      <c r="O32" s="308" t="s">
        <v>509</v>
      </c>
      <c r="P32" s="309" t="s">
        <v>3575</v>
      </c>
    </row>
    <row r="33" s="106" customFormat="1" ht="20.1" customHeight="1" spans="1:16">
      <c r="A33" s="279" t="s">
        <v>1503</v>
      </c>
      <c r="B33" s="289" t="s">
        <v>1504</v>
      </c>
      <c r="C33" s="287"/>
      <c r="D33" s="288">
        <f t="shared" si="1"/>
        <v>0</v>
      </c>
      <c r="E33" s="287"/>
      <c r="F33" s="287"/>
      <c r="G33" s="287"/>
      <c r="H33" s="287"/>
      <c r="I33" s="302"/>
      <c r="J33" s="303">
        <f t="shared" si="2"/>
        <v>0</v>
      </c>
      <c r="K33" s="294" t="s">
        <v>3555</v>
      </c>
      <c r="L33" s="44">
        <v>1</v>
      </c>
      <c r="M33" s="308" t="s">
        <v>1503</v>
      </c>
      <c r="N33" s="308"/>
      <c r="O33" s="308" t="s">
        <v>509</v>
      </c>
      <c r="P33" s="309" t="s">
        <v>3576</v>
      </c>
    </row>
    <row r="34" s="106" customFormat="1" ht="20.1" customHeight="1" spans="1:16">
      <c r="A34" s="279" t="s">
        <v>1505</v>
      </c>
      <c r="B34" s="289" t="s">
        <v>1476</v>
      </c>
      <c r="C34" s="287">
        <v>2575</v>
      </c>
      <c r="D34" s="288">
        <f t="shared" si="1"/>
        <v>2912</v>
      </c>
      <c r="E34" s="287"/>
      <c r="F34" s="287"/>
      <c r="G34" s="287"/>
      <c r="H34" s="287"/>
      <c r="I34" s="302">
        <v>2912</v>
      </c>
      <c r="J34" s="303">
        <f t="shared" si="2"/>
        <v>113.09</v>
      </c>
      <c r="K34" s="294" t="s">
        <v>3555</v>
      </c>
      <c r="L34" s="44">
        <v>1</v>
      </c>
      <c r="M34" s="308" t="s">
        <v>1505</v>
      </c>
      <c r="N34" s="308"/>
      <c r="O34" s="308" t="s">
        <v>509</v>
      </c>
      <c r="P34" s="314" t="s">
        <v>3565</v>
      </c>
    </row>
    <row r="35" s="106" customFormat="1" ht="20.1" customHeight="1" spans="1:16">
      <c r="A35" s="279" t="s">
        <v>1506</v>
      </c>
      <c r="B35" s="289" t="s">
        <v>1507</v>
      </c>
      <c r="C35" s="287">
        <v>36</v>
      </c>
      <c r="D35" s="288">
        <f t="shared" si="1"/>
        <v>32</v>
      </c>
      <c r="E35" s="287"/>
      <c r="F35" s="287"/>
      <c r="G35" s="287"/>
      <c r="H35" s="287"/>
      <c r="I35" s="302">
        <v>32</v>
      </c>
      <c r="J35" s="303">
        <f t="shared" si="2"/>
        <v>88.89</v>
      </c>
      <c r="K35" s="294" t="s">
        <v>3555</v>
      </c>
      <c r="L35" s="44">
        <v>1</v>
      </c>
      <c r="M35" s="308" t="s">
        <v>1506</v>
      </c>
      <c r="N35" s="308"/>
      <c r="O35" s="308" t="s">
        <v>509</v>
      </c>
      <c r="P35" s="309" t="s">
        <v>3577</v>
      </c>
    </row>
    <row r="36" s="107" customFormat="1" ht="20.1" customHeight="1" spans="1:16">
      <c r="A36" s="283" t="s">
        <v>510</v>
      </c>
      <c r="B36" s="284" t="s">
        <v>1508</v>
      </c>
      <c r="C36" s="285">
        <f t="shared" ref="C36:I36" si="6">SUM(C37:C46)</f>
        <v>697</v>
      </c>
      <c r="D36" s="285">
        <f t="shared" si="1"/>
        <v>479</v>
      </c>
      <c r="E36" s="285">
        <f t="shared" si="6"/>
        <v>0</v>
      </c>
      <c r="F36" s="285">
        <f t="shared" si="6"/>
        <v>0</v>
      </c>
      <c r="G36" s="285">
        <f t="shared" si="6"/>
        <v>52</v>
      </c>
      <c r="H36" s="285">
        <f t="shared" si="6"/>
        <v>0</v>
      </c>
      <c r="I36" s="285">
        <f t="shared" si="6"/>
        <v>427</v>
      </c>
      <c r="J36" s="299">
        <f t="shared" si="2"/>
        <v>68.72</v>
      </c>
      <c r="K36" s="300" t="s">
        <v>3551</v>
      </c>
      <c r="L36" s="301"/>
      <c r="M36" s="312" t="s">
        <v>510</v>
      </c>
      <c r="N36" s="312" t="s">
        <v>505</v>
      </c>
      <c r="O36" s="312" t="s">
        <v>510</v>
      </c>
      <c r="P36" s="313" t="s">
        <v>3578</v>
      </c>
    </row>
    <row r="37" s="106" customFormat="1" ht="20.1" customHeight="1" spans="1:16">
      <c r="A37" s="279" t="s">
        <v>1509</v>
      </c>
      <c r="B37" s="286" t="s">
        <v>1458</v>
      </c>
      <c r="C37" s="287">
        <v>371</v>
      </c>
      <c r="D37" s="288">
        <f t="shared" si="1"/>
        <v>347</v>
      </c>
      <c r="E37" s="287"/>
      <c r="F37" s="287"/>
      <c r="G37" s="287"/>
      <c r="H37" s="287"/>
      <c r="I37" s="302">
        <v>347</v>
      </c>
      <c r="J37" s="303">
        <f t="shared" si="2"/>
        <v>93.53</v>
      </c>
      <c r="K37" s="294" t="s">
        <v>3555</v>
      </c>
      <c r="L37" s="44">
        <v>1</v>
      </c>
      <c r="M37" s="308" t="s">
        <v>1509</v>
      </c>
      <c r="N37" s="308"/>
      <c r="O37" s="308" t="s">
        <v>510</v>
      </c>
      <c r="P37" s="314" t="s">
        <v>3556</v>
      </c>
    </row>
    <row r="38" s="106" customFormat="1" ht="20.1" customHeight="1" spans="1:16">
      <c r="A38" s="279" t="s">
        <v>1510</v>
      </c>
      <c r="B38" s="286" t="s">
        <v>1460</v>
      </c>
      <c r="C38" s="287">
        <v>3</v>
      </c>
      <c r="D38" s="288">
        <f t="shared" si="1"/>
        <v>0</v>
      </c>
      <c r="E38" s="287"/>
      <c r="F38" s="287"/>
      <c r="G38" s="287"/>
      <c r="H38" s="287"/>
      <c r="I38" s="302"/>
      <c r="J38" s="303">
        <f t="shared" si="2"/>
        <v>-100</v>
      </c>
      <c r="K38" s="294" t="s">
        <v>3555</v>
      </c>
      <c r="L38" s="44">
        <v>1</v>
      </c>
      <c r="M38" s="308" t="s">
        <v>1510</v>
      </c>
      <c r="N38" s="308"/>
      <c r="O38" s="308" t="s">
        <v>510</v>
      </c>
      <c r="P38" s="314" t="s">
        <v>3557</v>
      </c>
    </row>
    <row r="39" s="106" customFormat="1" ht="20.1" customHeight="1" spans="1:16">
      <c r="A39" s="279" t="s">
        <v>1511</v>
      </c>
      <c r="B39" s="289" t="s">
        <v>1462</v>
      </c>
      <c r="C39" s="287"/>
      <c r="D39" s="288">
        <f t="shared" si="1"/>
        <v>0</v>
      </c>
      <c r="E39" s="287"/>
      <c r="F39" s="287"/>
      <c r="G39" s="287"/>
      <c r="H39" s="287"/>
      <c r="I39" s="302"/>
      <c r="J39" s="303">
        <f t="shared" si="2"/>
        <v>0</v>
      </c>
      <c r="K39" s="294" t="s">
        <v>3555</v>
      </c>
      <c r="L39" s="44">
        <v>1</v>
      </c>
      <c r="M39" s="308" t="s">
        <v>1511</v>
      </c>
      <c r="N39" s="308"/>
      <c r="O39" s="308" t="s">
        <v>510</v>
      </c>
      <c r="P39" s="314" t="s">
        <v>3558</v>
      </c>
    </row>
    <row r="40" s="106" customFormat="1" ht="20.1" customHeight="1" spans="1:16">
      <c r="A40" s="279" t="s">
        <v>1512</v>
      </c>
      <c r="B40" s="289" t="s">
        <v>1513</v>
      </c>
      <c r="C40" s="287"/>
      <c r="D40" s="288">
        <f t="shared" si="1"/>
        <v>0</v>
      </c>
      <c r="E40" s="287"/>
      <c r="F40" s="287"/>
      <c r="G40" s="287"/>
      <c r="H40" s="287"/>
      <c r="I40" s="302"/>
      <c r="J40" s="303">
        <f t="shared" si="2"/>
        <v>0</v>
      </c>
      <c r="K40" s="294" t="s">
        <v>3555</v>
      </c>
      <c r="L40" s="44">
        <v>1</v>
      </c>
      <c r="M40" s="308" t="s">
        <v>1512</v>
      </c>
      <c r="N40" s="308"/>
      <c r="O40" s="308" t="s">
        <v>510</v>
      </c>
      <c r="P40" s="309" t="s">
        <v>3579</v>
      </c>
    </row>
    <row r="41" s="106" customFormat="1" ht="20.1" customHeight="1" spans="1:16">
      <c r="A41" s="279" t="s">
        <v>1514</v>
      </c>
      <c r="B41" s="289" t="s">
        <v>1515</v>
      </c>
      <c r="C41" s="287"/>
      <c r="D41" s="288">
        <f t="shared" si="1"/>
        <v>0</v>
      </c>
      <c r="E41" s="287"/>
      <c r="F41" s="287"/>
      <c r="G41" s="287"/>
      <c r="H41" s="287"/>
      <c r="I41" s="302"/>
      <c r="J41" s="303">
        <f t="shared" si="2"/>
        <v>0</v>
      </c>
      <c r="K41" s="294" t="s">
        <v>3555</v>
      </c>
      <c r="L41" s="44">
        <v>1</v>
      </c>
      <c r="M41" s="308" t="s">
        <v>1514</v>
      </c>
      <c r="N41" s="308"/>
      <c r="O41" s="308" t="s">
        <v>510</v>
      </c>
      <c r="P41" s="309" t="s">
        <v>3580</v>
      </c>
    </row>
    <row r="42" s="106" customFormat="1" ht="20.1" customHeight="1" spans="1:16">
      <c r="A42" s="279" t="s">
        <v>1516</v>
      </c>
      <c r="B42" s="286" t="s">
        <v>1517</v>
      </c>
      <c r="C42" s="287"/>
      <c r="D42" s="288">
        <f t="shared" si="1"/>
        <v>0</v>
      </c>
      <c r="E42" s="287"/>
      <c r="F42" s="287"/>
      <c r="G42" s="287"/>
      <c r="H42" s="287"/>
      <c r="I42" s="302"/>
      <c r="J42" s="303">
        <f t="shared" si="2"/>
        <v>0</v>
      </c>
      <c r="K42" s="294" t="s">
        <v>3555</v>
      </c>
      <c r="L42" s="44">
        <v>1</v>
      </c>
      <c r="M42" s="308" t="s">
        <v>1516</v>
      </c>
      <c r="N42" s="308"/>
      <c r="O42" s="308" t="s">
        <v>510</v>
      </c>
      <c r="P42" s="309" t="s">
        <v>3581</v>
      </c>
    </row>
    <row r="43" s="106" customFormat="1" ht="20.1" customHeight="1" spans="1:16">
      <c r="A43" s="279" t="s">
        <v>1518</v>
      </c>
      <c r="B43" s="286" t="s">
        <v>1519</v>
      </c>
      <c r="C43" s="287"/>
      <c r="D43" s="288">
        <f t="shared" si="1"/>
        <v>0</v>
      </c>
      <c r="E43" s="287"/>
      <c r="F43" s="287"/>
      <c r="G43" s="287"/>
      <c r="H43" s="287"/>
      <c r="I43" s="302"/>
      <c r="J43" s="303">
        <f t="shared" si="2"/>
        <v>0</v>
      </c>
      <c r="K43" s="294" t="s">
        <v>3555</v>
      </c>
      <c r="L43" s="44">
        <v>1</v>
      </c>
      <c r="M43" s="308" t="s">
        <v>1518</v>
      </c>
      <c r="N43" s="308"/>
      <c r="O43" s="308" t="s">
        <v>510</v>
      </c>
      <c r="P43" s="309" t="s">
        <v>3582</v>
      </c>
    </row>
    <row r="44" s="106" customFormat="1" ht="20.1" customHeight="1" spans="1:16">
      <c r="A44" s="279" t="s">
        <v>1520</v>
      </c>
      <c r="B44" s="286" t="s">
        <v>1521</v>
      </c>
      <c r="C44" s="287"/>
      <c r="D44" s="288">
        <f t="shared" si="1"/>
        <v>0</v>
      </c>
      <c r="E44" s="287"/>
      <c r="F44" s="287"/>
      <c r="G44" s="287"/>
      <c r="H44" s="287"/>
      <c r="I44" s="302"/>
      <c r="J44" s="303">
        <f t="shared" si="2"/>
        <v>0</v>
      </c>
      <c r="K44" s="294" t="s">
        <v>3555</v>
      </c>
      <c r="L44" s="44">
        <v>1</v>
      </c>
      <c r="M44" s="308" t="s">
        <v>1520</v>
      </c>
      <c r="N44" s="308"/>
      <c r="O44" s="308" t="s">
        <v>510</v>
      </c>
      <c r="P44" s="309" t="s">
        <v>3583</v>
      </c>
    </row>
    <row r="45" s="106" customFormat="1" ht="20.1" customHeight="1" spans="1:16">
      <c r="A45" s="279" t="s">
        <v>1522</v>
      </c>
      <c r="B45" s="286" t="s">
        <v>1476</v>
      </c>
      <c r="C45" s="287">
        <v>56</v>
      </c>
      <c r="D45" s="288">
        <f t="shared" si="1"/>
        <v>80</v>
      </c>
      <c r="E45" s="287"/>
      <c r="F45" s="287"/>
      <c r="G45" s="287"/>
      <c r="H45" s="287"/>
      <c r="I45" s="302">
        <v>80</v>
      </c>
      <c r="J45" s="303">
        <f t="shared" si="2"/>
        <v>142.86</v>
      </c>
      <c r="K45" s="294" t="s">
        <v>3555</v>
      </c>
      <c r="L45" s="44">
        <v>1</v>
      </c>
      <c r="M45" s="308" t="s">
        <v>1522</v>
      </c>
      <c r="N45" s="308"/>
      <c r="O45" s="308" t="s">
        <v>510</v>
      </c>
      <c r="P45" s="314" t="s">
        <v>3565</v>
      </c>
    </row>
    <row r="46" s="106" customFormat="1" ht="20.1" customHeight="1" spans="1:16">
      <c r="A46" s="279" t="s">
        <v>1523</v>
      </c>
      <c r="B46" s="289" t="s">
        <v>1524</v>
      </c>
      <c r="C46" s="287">
        <v>267</v>
      </c>
      <c r="D46" s="288">
        <f t="shared" si="1"/>
        <v>52</v>
      </c>
      <c r="E46" s="287"/>
      <c r="F46" s="287"/>
      <c r="G46" s="287">
        <v>52</v>
      </c>
      <c r="H46" s="287"/>
      <c r="I46" s="302"/>
      <c r="J46" s="303">
        <f t="shared" si="2"/>
        <v>19.48</v>
      </c>
      <c r="K46" s="294" t="s">
        <v>3555</v>
      </c>
      <c r="L46" s="44">
        <v>1</v>
      </c>
      <c r="M46" s="308" t="s">
        <v>1523</v>
      </c>
      <c r="N46" s="308"/>
      <c r="O46" s="308" t="s">
        <v>510</v>
      </c>
      <c r="P46" s="309" t="s">
        <v>3584</v>
      </c>
    </row>
    <row r="47" s="107" customFormat="1" ht="20.1" customHeight="1" spans="1:16">
      <c r="A47" s="283" t="s">
        <v>511</v>
      </c>
      <c r="B47" s="284" t="s">
        <v>1525</v>
      </c>
      <c r="C47" s="285">
        <f t="shared" ref="C47:I47" si="7">SUM(C48:C57)</f>
        <v>409</v>
      </c>
      <c r="D47" s="285">
        <f t="shared" si="1"/>
        <v>405</v>
      </c>
      <c r="E47" s="285">
        <f t="shared" si="7"/>
        <v>15</v>
      </c>
      <c r="F47" s="285">
        <f t="shared" si="7"/>
        <v>0</v>
      </c>
      <c r="G47" s="285">
        <f t="shared" si="7"/>
        <v>29</v>
      </c>
      <c r="H47" s="285">
        <f t="shared" si="7"/>
        <v>0</v>
      </c>
      <c r="I47" s="285">
        <f t="shared" si="7"/>
        <v>361</v>
      </c>
      <c r="J47" s="299">
        <f t="shared" si="2"/>
        <v>99.02</v>
      </c>
      <c r="K47" s="300" t="s">
        <v>3551</v>
      </c>
      <c r="L47" s="301"/>
      <c r="M47" s="312" t="s">
        <v>511</v>
      </c>
      <c r="N47" s="312" t="s">
        <v>505</v>
      </c>
      <c r="O47" s="312" t="s">
        <v>511</v>
      </c>
      <c r="P47" s="313" t="s">
        <v>3585</v>
      </c>
    </row>
    <row r="48" s="106" customFormat="1" ht="20.1" customHeight="1" spans="1:16">
      <c r="A48" s="279" t="s">
        <v>1526</v>
      </c>
      <c r="B48" s="289" t="s">
        <v>1458</v>
      </c>
      <c r="C48" s="287">
        <v>260</v>
      </c>
      <c r="D48" s="288">
        <f t="shared" si="1"/>
        <v>253</v>
      </c>
      <c r="E48" s="287"/>
      <c r="F48" s="287"/>
      <c r="G48" s="287"/>
      <c r="H48" s="287"/>
      <c r="I48" s="302">
        <v>253</v>
      </c>
      <c r="J48" s="303">
        <f t="shared" si="2"/>
        <v>97.31</v>
      </c>
      <c r="K48" s="294" t="s">
        <v>3555</v>
      </c>
      <c r="L48" s="44">
        <v>1</v>
      </c>
      <c r="M48" s="308" t="s">
        <v>1526</v>
      </c>
      <c r="N48" s="308"/>
      <c r="O48" s="308" t="s">
        <v>511</v>
      </c>
      <c r="P48" s="314" t="s">
        <v>3556</v>
      </c>
    </row>
    <row r="49" s="106" customFormat="1" ht="20.1" customHeight="1" spans="1:16">
      <c r="A49" s="279" t="s">
        <v>1527</v>
      </c>
      <c r="B49" s="41" t="s">
        <v>1460</v>
      </c>
      <c r="C49" s="287"/>
      <c r="D49" s="288">
        <f t="shared" si="1"/>
        <v>0</v>
      </c>
      <c r="E49" s="287"/>
      <c r="F49" s="287"/>
      <c r="G49" s="287"/>
      <c r="H49" s="287"/>
      <c r="I49" s="302"/>
      <c r="J49" s="303">
        <f t="shared" si="2"/>
        <v>0</v>
      </c>
      <c r="K49" s="294" t="s">
        <v>3555</v>
      </c>
      <c r="L49" s="44">
        <v>1</v>
      </c>
      <c r="M49" s="308" t="s">
        <v>1527</v>
      </c>
      <c r="N49" s="308"/>
      <c r="O49" s="308" t="s">
        <v>511</v>
      </c>
      <c r="P49" s="314" t="s">
        <v>3557</v>
      </c>
    </row>
    <row r="50" s="106" customFormat="1" ht="20.1" customHeight="1" spans="1:16">
      <c r="A50" s="279" t="s">
        <v>1528</v>
      </c>
      <c r="B50" s="286" t="s">
        <v>1462</v>
      </c>
      <c r="C50" s="287"/>
      <c r="D50" s="288">
        <f t="shared" si="1"/>
        <v>0</v>
      </c>
      <c r="E50" s="287"/>
      <c r="F50" s="287"/>
      <c r="G50" s="287"/>
      <c r="H50" s="287"/>
      <c r="I50" s="302"/>
      <c r="J50" s="303">
        <f t="shared" si="2"/>
        <v>0</v>
      </c>
      <c r="K50" s="294" t="s">
        <v>3555</v>
      </c>
      <c r="L50" s="44">
        <v>1</v>
      </c>
      <c r="M50" s="308" t="s">
        <v>1528</v>
      </c>
      <c r="N50" s="308"/>
      <c r="O50" s="308" t="s">
        <v>511</v>
      </c>
      <c r="P50" s="314" t="s">
        <v>3558</v>
      </c>
    </row>
    <row r="51" s="106" customFormat="1" ht="20.1" customHeight="1" spans="1:16">
      <c r="A51" s="279" t="s">
        <v>1529</v>
      </c>
      <c r="B51" s="286" t="s">
        <v>1530</v>
      </c>
      <c r="C51" s="287"/>
      <c r="D51" s="288">
        <f t="shared" si="1"/>
        <v>0</v>
      </c>
      <c r="E51" s="287"/>
      <c r="F51" s="287"/>
      <c r="G51" s="287"/>
      <c r="H51" s="287"/>
      <c r="I51" s="302"/>
      <c r="J51" s="303">
        <f t="shared" si="2"/>
        <v>0</v>
      </c>
      <c r="K51" s="294" t="s">
        <v>3555</v>
      </c>
      <c r="L51" s="44">
        <v>1</v>
      </c>
      <c r="M51" s="308" t="s">
        <v>1529</v>
      </c>
      <c r="N51" s="308"/>
      <c r="O51" s="308" t="s">
        <v>511</v>
      </c>
      <c r="P51" s="309" t="s">
        <v>3586</v>
      </c>
    </row>
    <row r="52" s="106" customFormat="1" ht="20.1" customHeight="1" spans="1:16">
      <c r="A52" s="279" t="s">
        <v>1531</v>
      </c>
      <c r="B52" s="286" t="s">
        <v>1532</v>
      </c>
      <c r="C52" s="287">
        <v>41</v>
      </c>
      <c r="D52" s="288">
        <f t="shared" si="1"/>
        <v>41</v>
      </c>
      <c r="E52" s="287"/>
      <c r="F52" s="287"/>
      <c r="G52" s="287"/>
      <c r="H52" s="287"/>
      <c r="I52" s="302">
        <v>41</v>
      </c>
      <c r="J52" s="303">
        <f t="shared" si="2"/>
        <v>100</v>
      </c>
      <c r="K52" s="294" t="s">
        <v>3555</v>
      </c>
      <c r="L52" s="44">
        <v>1</v>
      </c>
      <c r="M52" s="308" t="s">
        <v>1531</v>
      </c>
      <c r="N52" s="308"/>
      <c r="O52" s="308" t="s">
        <v>511</v>
      </c>
      <c r="P52" s="309" t="s">
        <v>3587</v>
      </c>
    </row>
    <row r="53" s="106" customFormat="1" ht="20.1" customHeight="1" spans="1:16">
      <c r="A53" s="279" t="s">
        <v>1533</v>
      </c>
      <c r="B53" s="289" t="s">
        <v>1534</v>
      </c>
      <c r="C53" s="287">
        <v>60</v>
      </c>
      <c r="D53" s="288">
        <f t="shared" si="1"/>
        <v>73</v>
      </c>
      <c r="E53" s="287">
        <v>15</v>
      </c>
      <c r="F53" s="287"/>
      <c r="G53" s="287">
        <v>23</v>
      </c>
      <c r="H53" s="287"/>
      <c r="I53" s="302">
        <v>35</v>
      </c>
      <c r="J53" s="303">
        <f t="shared" si="2"/>
        <v>121.67</v>
      </c>
      <c r="K53" s="294" t="s">
        <v>3555</v>
      </c>
      <c r="L53" s="44">
        <v>1</v>
      </c>
      <c r="M53" s="308" t="s">
        <v>1533</v>
      </c>
      <c r="N53" s="308"/>
      <c r="O53" s="308" t="s">
        <v>511</v>
      </c>
      <c r="P53" s="309" t="s">
        <v>3588</v>
      </c>
    </row>
    <row r="54" s="106" customFormat="1" ht="20.1" customHeight="1" spans="1:16">
      <c r="A54" s="279" t="s">
        <v>1535</v>
      </c>
      <c r="B54" s="289" t="s">
        <v>1536</v>
      </c>
      <c r="C54" s="287">
        <v>16</v>
      </c>
      <c r="D54" s="288">
        <f t="shared" si="1"/>
        <v>6</v>
      </c>
      <c r="E54" s="287"/>
      <c r="F54" s="287"/>
      <c r="G54" s="287">
        <v>6</v>
      </c>
      <c r="H54" s="287"/>
      <c r="I54" s="302"/>
      <c r="J54" s="303">
        <f t="shared" si="2"/>
        <v>37.5</v>
      </c>
      <c r="K54" s="294" t="s">
        <v>3555</v>
      </c>
      <c r="L54" s="44">
        <v>1</v>
      </c>
      <c r="M54" s="308" t="s">
        <v>1535</v>
      </c>
      <c r="N54" s="308"/>
      <c r="O54" s="308" t="s">
        <v>511</v>
      </c>
      <c r="P54" s="309" t="s">
        <v>3589</v>
      </c>
    </row>
    <row r="55" s="106" customFormat="1" ht="20.1" customHeight="1" spans="1:16">
      <c r="A55" s="279" t="s">
        <v>1537</v>
      </c>
      <c r="B55" s="289" t="s">
        <v>1538</v>
      </c>
      <c r="C55" s="287">
        <v>32</v>
      </c>
      <c r="D55" s="288">
        <f t="shared" si="1"/>
        <v>32</v>
      </c>
      <c r="E55" s="287"/>
      <c r="F55" s="287"/>
      <c r="G55" s="287"/>
      <c r="H55" s="287"/>
      <c r="I55" s="302">
        <v>32</v>
      </c>
      <c r="J55" s="303">
        <f t="shared" si="2"/>
        <v>100</v>
      </c>
      <c r="K55" s="294" t="s">
        <v>3555</v>
      </c>
      <c r="L55" s="44">
        <v>1</v>
      </c>
      <c r="M55" s="308" t="s">
        <v>1537</v>
      </c>
      <c r="N55" s="308"/>
      <c r="O55" s="308" t="s">
        <v>511</v>
      </c>
      <c r="P55" s="309" t="s">
        <v>3590</v>
      </c>
    </row>
    <row r="56" s="106" customFormat="1" ht="20.1" customHeight="1" spans="1:16">
      <c r="A56" s="279" t="s">
        <v>1539</v>
      </c>
      <c r="B56" s="286" t="s">
        <v>1476</v>
      </c>
      <c r="C56" s="287"/>
      <c r="D56" s="288">
        <f t="shared" si="1"/>
        <v>0</v>
      </c>
      <c r="E56" s="287"/>
      <c r="F56" s="287"/>
      <c r="G56" s="287"/>
      <c r="H56" s="287"/>
      <c r="I56" s="302"/>
      <c r="J56" s="303">
        <f t="shared" si="2"/>
        <v>0</v>
      </c>
      <c r="K56" s="294" t="s">
        <v>3555</v>
      </c>
      <c r="L56" s="44">
        <v>1</v>
      </c>
      <c r="M56" s="308" t="s">
        <v>1539</v>
      </c>
      <c r="N56" s="308"/>
      <c r="O56" s="308" t="s">
        <v>511</v>
      </c>
      <c r="P56" s="314" t="s">
        <v>3565</v>
      </c>
    </row>
    <row r="57" s="106" customFormat="1" ht="20.1" customHeight="1" spans="1:16">
      <c r="A57" s="279" t="s">
        <v>1540</v>
      </c>
      <c r="B57" s="286" t="s">
        <v>1541</v>
      </c>
      <c r="C57" s="287"/>
      <c r="D57" s="288">
        <f t="shared" si="1"/>
        <v>0</v>
      </c>
      <c r="E57" s="287"/>
      <c r="F57" s="287"/>
      <c r="G57" s="287"/>
      <c r="H57" s="287"/>
      <c r="I57" s="302"/>
      <c r="J57" s="303">
        <f t="shared" si="2"/>
        <v>0</v>
      </c>
      <c r="K57" s="294" t="s">
        <v>3555</v>
      </c>
      <c r="L57" s="44">
        <v>1</v>
      </c>
      <c r="M57" s="308" t="s">
        <v>1540</v>
      </c>
      <c r="N57" s="308"/>
      <c r="O57" s="308" t="s">
        <v>511</v>
      </c>
      <c r="P57" s="309" t="s">
        <v>3591</v>
      </c>
    </row>
    <row r="58" s="107" customFormat="1" ht="20.1" customHeight="1" spans="1:16">
      <c r="A58" s="283" t="s">
        <v>512</v>
      </c>
      <c r="B58" s="284" t="s">
        <v>1542</v>
      </c>
      <c r="C58" s="285">
        <f t="shared" ref="C58:I58" si="8">SUM(C59:C68)</f>
        <v>724</v>
      </c>
      <c r="D58" s="285">
        <f t="shared" si="1"/>
        <v>849</v>
      </c>
      <c r="E58" s="285">
        <f t="shared" si="8"/>
        <v>0</v>
      </c>
      <c r="F58" s="285">
        <f t="shared" si="8"/>
        <v>0</v>
      </c>
      <c r="G58" s="285">
        <f t="shared" si="8"/>
        <v>0</v>
      </c>
      <c r="H58" s="285">
        <f t="shared" si="8"/>
        <v>0</v>
      </c>
      <c r="I58" s="285">
        <f t="shared" si="8"/>
        <v>849</v>
      </c>
      <c r="J58" s="299">
        <f t="shared" si="2"/>
        <v>117.27</v>
      </c>
      <c r="K58" s="300" t="s">
        <v>3551</v>
      </c>
      <c r="L58" s="301"/>
      <c r="M58" s="312" t="s">
        <v>512</v>
      </c>
      <c r="N58" s="312" t="s">
        <v>505</v>
      </c>
      <c r="O58" s="312" t="s">
        <v>512</v>
      </c>
      <c r="P58" s="313" t="s">
        <v>3592</v>
      </c>
    </row>
    <row r="59" s="106" customFormat="1" ht="20.1" customHeight="1" spans="1:16">
      <c r="A59" s="279" t="s">
        <v>1543</v>
      </c>
      <c r="B59" s="289" t="s">
        <v>1458</v>
      </c>
      <c r="C59" s="287">
        <v>617</v>
      </c>
      <c r="D59" s="288">
        <f t="shared" si="1"/>
        <v>555</v>
      </c>
      <c r="E59" s="287"/>
      <c r="F59" s="287"/>
      <c r="G59" s="287"/>
      <c r="H59" s="287"/>
      <c r="I59" s="302">
        <v>555</v>
      </c>
      <c r="J59" s="303">
        <f t="shared" si="2"/>
        <v>89.95</v>
      </c>
      <c r="K59" s="294" t="s">
        <v>3555</v>
      </c>
      <c r="L59" s="44">
        <v>1</v>
      </c>
      <c r="M59" s="308" t="s">
        <v>1543</v>
      </c>
      <c r="N59" s="308"/>
      <c r="O59" s="308" t="s">
        <v>512</v>
      </c>
      <c r="P59" s="314" t="s">
        <v>3556</v>
      </c>
    </row>
    <row r="60" s="106" customFormat="1" ht="20.1" customHeight="1" spans="1:16">
      <c r="A60" s="279" t="s">
        <v>1544</v>
      </c>
      <c r="B60" s="41" t="s">
        <v>1460</v>
      </c>
      <c r="C60" s="287">
        <v>2</v>
      </c>
      <c r="D60" s="288">
        <f t="shared" si="1"/>
        <v>1</v>
      </c>
      <c r="E60" s="287"/>
      <c r="F60" s="287"/>
      <c r="G60" s="287"/>
      <c r="H60" s="287"/>
      <c r="I60" s="302">
        <v>1</v>
      </c>
      <c r="J60" s="303">
        <f t="shared" si="2"/>
        <v>50</v>
      </c>
      <c r="K60" s="294" t="s">
        <v>3555</v>
      </c>
      <c r="L60" s="44">
        <v>1</v>
      </c>
      <c r="M60" s="308" t="s">
        <v>1544</v>
      </c>
      <c r="N60" s="308"/>
      <c r="O60" s="308" t="s">
        <v>512</v>
      </c>
      <c r="P60" s="314" t="s">
        <v>3557</v>
      </c>
    </row>
    <row r="61" s="106" customFormat="1" ht="20.1" customHeight="1" spans="1:16">
      <c r="A61" s="279" t="s">
        <v>1545</v>
      </c>
      <c r="B61" s="41" t="s">
        <v>1462</v>
      </c>
      <c r="C61" s="287"/>
      <c r="D61" s="288">
        <f t="shared" si="1"/>
        <v>0</v>
      </c>
      <c r="E61" s="287"/>
      <c r="F61" s="287"/>
      <c r="G61" s="287"/>
      <c r="H61" s="287"/>
      <c r="I61" s="302"/>
      <c r="J61" s="303">
        <f t="shared" si="2"/>
        <v>0</v>
      </c>
      <c r="K61" s="294" t="s">
        <v>3555</v>
      </c>
      <c r="L61" s="44">
        <v>1</v>
      </c>
      <c r="M61" s="308" t="s">
        <v>1545</v>
      </c>
      <c r="N61" s="308"/>
      <c r="O61" s="308" t="s">
        <v>512</v>
      </c>
      <c r="P61" s="314" t="s">
        <v>3558</v>
      </c>
    </row>
    <row r="62" s="106" customFormat="1" ht="20.1" customHeight="1" spans="1:16">
      <c r="A62" s="279" t="s">
        <v>1546</v>
      </c>
      <c r="B62" s="41" t="s">
        <v>1547</v>
      </c>
      <c r="C62" s="287">
        <v>34</v>
      </c>
      <c r="D62" s="288">
        <f t="shared" si="1"/>
        <v>50</v>
      </c>
      <c r="E62" s="287"/>
      <c r="F62" s="287"/>
      <c r="G62" s="287"/>
      <c r="H62" s="287"/>
      <c r="I62" s="302">
        <v>50</v>
      </c>
      <c r="J62" s="303">
        <f t="shared" si="2"/>
        <v>147.06</v>
      </c>
      <c r="K62" s="294" t="s">
        <v>3555</v>
      </c>
      <c r="L62" s="44">
        <v>1</v>
      </c>
      <c r="M62" s="308" t="s">
        <v>1546</v>
      </c>
      <c r="N62" s="308"/>
      <c r="O62" s="308" t="s">
        <v>512</v>
      </c>
      <c r="P62" s="309" t="s">
        <v>3593</v>
      </c>
    </row>
    <row r="63" s="106" customFormat="1" ht="20.1" customHeight="1" spans="1:16">
      <c r="A63" s="279" t="s">
        <v>1548</v>
      </c>
      <c r="B63" s="41" t="s">
        <v>1549</v>
      </c>
      <c r="C63" s="287">
        <v>13</v>
      </c>
      <c r="D63" s="288">
        <f t="shared" si="1"/>
        <v>22</v>
      </c>
      <c r="E63" s="287"/>
      <c r="F63" s="287"/>
      <c r="G63" s="287"/>
      <c r="H63" s="287"/>
      <c r="I63" s="302">
        <v>22</v>
      </c>
      <c r="J63" s="303">
        <f t="shared" si="2"/>
        <v>169.23</v>
      </c>
      <c r="K63" s="294" t="s">
        <v>3555</v>
      </c>
      <c r="L63" s="44">
        <v>1</v>
      </c>
      <c r="M63" s="308" t="s">
        <v>1548</v>
      </c>
      <c r="N63" s="308"/>
      <c r="O63" s="308" t="s">
        <v>512</v>
      </c>
      <c r="P63" s="309" t="s">
        <v>3594</v>
      </c>
    </row>
    <row r="64" s="106" customFormat="1" ht="20.1" customHeight="1" spans="1:16">
      <c r="A64" s="279" t="s">
        <v>1550</v>
      </c>
      <c r="B64" s="41" t="s">
        <v>1551</v>
      </c>
      <c r="C64" s="287"/>
      <c r="D64" s="288">
        <f t="shared" si="1"/>
        <v>0</v>
      </c>
      <c r="E64" s="287"/>
      <c r="F64" s="287"/>
      <c r="G64" s="287"/>
      <c r="H64" s="287"/>
      <c r="I64" s="302"/>
      <c r="J64" s="303">
        <f t="shared" si="2"/>
        <v>0</v>
      </c>
      <c r="K64" s="294" t="s">
        <v>3555</v>
      </c>
      <c r="L64" s="44">
        <v>1</v>
      </c>
      <c r="M64" s="308" t="s">
        <v>1550</v>
      </c>
      <c r="N64" s="308"/>
      <c r="O64" s="308" t="s">
        <v>512</v>
      </c>
      <c r="P64" s="309" t="s">
        <v>3595</v>
      </c>
    </row>
    <row r="65" s="106" customFormat="1" ht="20.1" customHeight="1" spans="1:16">
      <c r="A65" s="279" t="s">
        <v>1552</v>
      </c>
      <c r="B65" s="286" t="s">
        <v>1553</v>
      </c>
      <c r="C65" s="287">
        <v>9</v>
      </c>
      <c r="D65" s="288">
        <f t="shared" si="1"/>
        <v>97</v>
      </c>
      <c r="E65" s="287"/>
      <c r="F65" s="287"/>
      <c r="G65" s="287"/>
      <c r="H65" s="287"/>
      <c r="I65" s="302">
        <v>97</v>
      </c>
      <c r="J65" s="303">
        <f t="shared" si="2"/>
        <v>1077.78</v>
      </c>
      <c r="K65" s="294" t="s">
        <v>3555</v>
      </c>
      <c r="L65" s="44">
        <v>1</v>
      </c>
      <c r="M65" s="308" t="s">
        <v>1552</v>
      </c>
      <c r="N65" s="308"/>
      <c r="O65" s="308" t="s">
        <v>512</v>
      </c>
      <c r="P65" s="314" t="s">
        <v>3596</v>
      </c>
    </row>
    <row r="66" s="106" customFormat="1" ht="20.1" customHeight="1" spans="1:16">
      <c r="A66" s="279" t="s">
        <v>1554</v>
      </c>
      <c r="B66" s="289" t="s">
        <v>1555</v>
      </c>
      <c r="C66" s="287">
        <v>25</v>
      </c>
      <c r="D66" s="288">
        <f t="shared" si="1"/>
        <v>36</v>
      </c>
      <c r="E66" s="287"/>
      <c r="F66" s="287"/>
      <c r="G66" s="287"/>
      <c r="H66" s="287"/>
      <c r="I66" s="302">
        <v>36</v>
      </c>
      <c r="J66" s="303">
        <f t="shared" si="2"/>
        <v>144</v>
      </c>
      <c r="K66" s="294" t="s">
        <v>3555</v>
      </c>
      <c r="L66" s="44">
        <v>1</v>
      </c>
      <c r="M66" s="308" t="s">
        <v>1554</v>
      </c>
      <c r="N66" s="308"/>
      <c r="O66" s="308" t="s">
        <v>512</v>
      </c>
      <c r="P66" s="309" t="s">
        <v>3597</v>
      </c>
    </row>
    <row r="67" s="106" customFormat="1" ht="20.1" customHeight="1" spans="1:16">
      <c r="A67" s="279" t="s">
        <v>1556</v>
      </c>
      <c r="B67" s="289" t="s">
        <v>1476</v>
      </c>
      <c r="C67" s="287">
        <v>24</v>
      </c>
      <c r="D67" s="288">
        <f t="shared" si="1"/>
        <v>80</v>
      </c>
      <c r="E67" s="287"/>
      <c r="F67" s="287"/>
      <c r="G67" s="287"/>
      <c r="H67" s="287"/>
      <c r="I67" s="302">
        <v>80</v>
      </c>
      <c r="J67" s="303">
        <f t="shared" si="2"/>
        <v>333.33</v>
      </c>
      <c r="K67" s="294" t="s">
        <v>3555</v>
      </c>
      <c r="L67" s="44">
        <v>1</v>
      </c>
      <c r="M67" s="308" t="s">
        <v>1556</v>
      </c>
      <c r="N67" s="308"/>
      <c r="O67" s="308" t="s">
        <v>512</v>
      </c>
      <c r="P67" s="314" t="s">
        <v>3565</v>
      </c>
    </row>
    <row r="68" s="106" customFormat="1" ht="20.1" customHeight="1" spans="1:16">
      <c r="A68" s="279" t="s">
        <v>1557</v>
      </c>
      <c r="B68" s="289" t="s">
        <v>1558</v>
      </c>
      <c r="C68" s="287"/>
      <c r="D68" s="288">
        <f t="shared" ref="D68:D131" si="9">SUM(E68:I68)</f>
        <v>8</v>
      </c>
      <c r="E68" s="287"/>
      <c r="F68" s="287"/>
      <c r="G68" s="287"/>
      <c r="H68" s="287"/>
      <c r="I68" s="302">
        <v>8</v>
      </c>
      <c r="J68" s="303">
        <f t="shared" ref="J68:J73" si="10">ROUND(IF(C68=0,IF(D68=0,0,1),IF(D68=0,-1,D68/C68)),4)*100</f>
        <v>100</v>
      </c>
      <c r="K68" s="294" t="s">
        <v>3555</v>
      </c>
      <c r="L68" s="44">
        <v>1</v>
      </c>
      <c r="M68" s="308" t="s">
        <v>1557</v>
      </c>
      <c r="N68" s="308"/>
      <c r="O68" s="308" t="s">
        <v>512</v>
      </c>
      <c r="P68" s="309" t="s">
        <v>3598</v>
      </c>
    </row>
    <row r="69" s="107" customFormat="1" ht="20.1" customHeight="1" spans="1:16">
      <c r="A69" s="283" t="s">
        <v>513</v>
      </c>
      <c r="B69" s="284" t="s">
        <v>1559</v>
      </c>
      <c r="C69" s="285">
        <f t="shared" ref="C69:I69" si="11">SUM(C70:C76)</f>
        <v>371</v>
      </c>
      <c r="D69" s="285">
        <f t="shared" si="9"/>
        <v>308</v>
      </c>
      <c r="E69" s="285">
        <f t="shared" si="11"/>
        <v>0</v>
      </c>
      <c r="F69" s="285">
        <f t="shared" si="11"/>
        <v>0</v>
      </c>
      <c r="G69" s="285">
        <f t="shared" si="11"/>
        <v>0</v>
      </c>
      <c r="H69" s="285">
        <f t="shared" si="11"/>
        <v>0</v>
      </c>
      <c r="I69" s="285">
        <f t="shared" si="11"/>
        <v>308</v>
      </c>
      <c r="J69" s="299">
        <f t="shared" si="10"/>
        <v>83.02</v>
      </c>
      <c r="K69" s="300" t="s">
        <v>3551</v>
      </c>
      <c r="L69" s="301"/>
      <c r="M69" s="312" t="s">
        <v>513</v>
      </c>
      <c r="N69" s="312" t="s">
        <v>505</v>
      </c>
      <c r="O69" s="312" t="s">
        <v>513</v>
      </c>
      <c r="P69" s="313" t="s">
        <v>3599</v>
      </c>
    </row>
    <row r="70" s="106" customFormat="1" ht="20.1" customHeight="1" spans="1:16">
      <c r="A70" s="279" t="s">
        <v>1560</v>
      </c>
      <c r="B70" s="286" t="s">
        <v>1458</v>
      </c>
      <c r="C70" s="287"/>
      <c r="D70" s="288">
        <f t="shared" si="9"/>
        <v>0</v>
      </c>
      <c r="E70" s="287"/>
      <c r="F70" s="287"/>
      <c r="G70" s="287"/>
      <c r="H70" s="287"/>
      <c r="I70" s="302"/>
      <c r="J70" s="303">
        <f t="shared" si="10"/>
        <v>0</v>
      </c>
      <c r="K70" s="294" t="s">
        <v>3555</v>
      </c>
      <c r="L70" s="44">
        <v>1</v>
      </c>
      <c r="M70" s="308" t="s">
        <v>1560</v>
      </c>
      <c r="N70" s="308"/>
      <c r="O70" s="308" t="s">
        <v>513</v>
      </c>
      <c r="P70" s="314" t="s">
        <v>3556</v>
      </c>
    </row>
    <row r="71" s="106" customFormat="1" ht="20.1" customHeight="1" spans="1:16">
      <c r="A71" s="279" t="s">
        <v>1561</v>
      </c>
      <c r="B71" s="286" t="s">
        <v>1460</v>
      </c>
      <c r="C71" s="287">
        <v>371</v>
      </c>
      <c r="D71" s="288">
        <f t="shared" si="9"/>
        <v>308</v>
      </c>
      <c r="E71" s="287"/>
      <c r="F71" s="287"/>
      <c r="G71" s="287"/>
      <c r="H71" s="287"/>
      <c r="I71" s="302">
        <v>308</v>
      </c>
      <c r="J71" s="303">
        <f t="shared" si="10"/>
        <v>83.02</v>
      </c>
      <c r="K71" s="294" t="s">
        <v>3555</v>
      </c>
      <c r="L71" s="44">
        <v>1</v>
      </c>
      <c r="M71" s="308" t="s">
        <v>1561</v>
      </c>
      <c r="N71" s="308"/>
      <c r="O71" s="308" t="s">
        <v>513</v>
      </c>
      <c r="P71" s="314" t="s">
        <v>3557</v>
      </c>
    </row>
    <row r="72" s="106" customFormat="1" ht="20.1" customHeight="1" spans="1:16">
      <c r="A72" s="279" t="s">
        <v>1562</v>
      </c>
      <c r="B72" s="289" t="s">
        <v>1462</v>
      </c>
      <c r="C72" s="287"/>
      <c r="D72" s="288">
        <f t="shared" si="9"/>
        <v>0</v>
      </c>
      <c r="E72" s="287"/>
      <c r="F72" s="287"/>
      <c r="G72" s="287"/>
      <c r="H72" s="287"/>
      <c r="I72" s="302"/>
      <c r="J72" s="303">
        <f t="shared" si="10"/>
        <v>0</v>
      </c>
      <c r="K72" s="294" t="s">
        <v>3555</v>
      </c>
      <c r="L72" s="44">
        <v>1</v>
      </c>
      <c r="M72" s="308" t="s">
        <v>1562</v>
      </c>
      <c r="N72" s="308"/>
      <c r="O72" s="308" t="s">
        <v>513</v>
      </c>
      <c r="P72" s="314" t="s">
        <v>3558</v>
      </c>
    </row>
    <row r="73" s="106" customFormat="1" ht="20.1" customHeight="1" spans="1:16">
      <c r="A73" s="279" t="s">
        <v>1563</v>
      </c>
      <c r="B73" s="286" t="s">
        <v>1553</v>
      </c>
      <c r="C73" s="287"/>
      <c r="D73" s="288">
        <f t="shared" si="9"/>
        <v>0</v>
      </c>
      <c r="E73" s="287"/>
      <c r="F73" s="287"/>
      <c r="G73" s="287"/>
      <c r="H73" s="287"/>
      <c r="I73" s="302"/>
      <c r="J73" s="303">
        <f t="shared" si="10"/>
        <v>0</v>
      </c>
      <c r="K73" s="294" t="s">
        <v>3555</v>
      </c>
      <c r="L73" s="44">
        <v>1</v>
      </c>
      <c r="M73" s="308" t="s">
        <v>1563</v>
      </c>
      <c r="N73" s="308"/>
      <c r="O73" s="308" t="s">
        <v>513</v>
      </c>
      <c r="P73" s="314" t="s">
        <v>3596</v>
      </c>
    </row>
    <row r="74" s="106" customFormat="1" ht="20.1" customHeight="1" spans="1:16">
      <c r="A74" s="279" t="s">
        <v>1564</v>
      </c>
      <c r="B74" s="286" t="s">
        <v>1565</v>
      </c>
      <c r="C74" s="287"/>
      <c r="D74" s="288">
        <f t="shared" si="9"/>
        <v>0</v>
      </c>
      <c r="E74" s="287"/>
      <c r="F74" s="287"/>
      <c r="G74" s="287"/>
      <c r="H74" s="287"/>
      <c r="I74" s="302"/>
      <c r="J74" s="303"/>
      <c r="K74" s="294" t="s">
        <v>3555</v>
      </c>
      <c r="L74" s="44">
        <v>1</v>
      </c>
      <c r="M74" s="308" t="s">
        <v>1564</v>
      </c>
      <c r="N74" s="308"/>
      <c r="O74" s="308" t="s">
        <v>513</v>
      </c>
      <c r="P74" s="314" t="s">
        <v>3600</v>
      </c>
    </row>
    <row r="75" s="106" customFormat="1" ht="20.1" customHeight="1" spans="1:16">
      <c r="A75" s="279" t="s">
        <v>1566</v>
      </c>
      <c r="B75" s="289" t="s">
        <v>1476</v>
      </c>
      <c r="C75" s="287"/>
      <c r="D75" s="288">
        <f t="shared" si="9"/>
        <v>0</v>
      </c>
      <c r="E75" s="287"/>
      <c r="F75" s="287"/>
      <c r="G75" s="287"/>
      <c r="H75" s="287"/>
      <c r="I75" s="302"/>
      <c r="J75" s="303">
        <f t="shared" ref="J75:J138" si="12">ROUND(IF(C75=0,IF(D75=0,0,1),IF(D75=0,-1,D75/C75)),4)*100</f>
        <v>0</v>
      </c>
      <c r="K75" s="294" t="s">
        <v>3555</v>
      </c>
      <c r="L75" s="44">
        <v>1</v>
      </c>
      <c r="M75" s="308" t="s">
        <v>1566</v>
      </c>
      <c r="N75" s="308"/>
      <c r="O75" s="308" t="s">
        <v>513</v>
      </c>
      <c r="P75" s="314" t="s">
        <v>3565</v>
      </c>
    </row>
    <row r="76" s="106" customFormat="1" ht="20.1" customHeight="1" spans="1:16">
      <c r="A76" s="279" t="s">
        <v>1567</v>
      </c>
      <c r="B76" s="289" t="s">
        <v>1568</v>
      </c>
      <c r="C76" s="287"/>
      <c r="D76" s="288">
        <f t="shared" si="9"/>
        <v>0</v>
      </c>
      <c r="E76" s="287"/>
      <c r="F76" s="287"/>
      <c r="G76" s="287"/>
      <c r="H76" s="287"/>
      <c r="I76" s="302"/>
      <c r="J76" s="303">
        <f t="shared" si="12"/>
        <v>0</v>
      </c>
      <c r="K76" s="294" t="s">
        <v>3555</v>
      </c>
      <c r="L76" s="44">
        <v>1</v>
      </c>
      <c r="M76" s="308" t="s">
        <v>1567</v>
      </c>
      <c r="N76" s="308"/>
      <c r="O76" s="308" t="s">
        <v>513</v>
      </c>
      <c r="P76" s="309" t="s">
        <v>3601</v>
      </c>
    </row>
    <row r="77" s="107" customFormat="1" ht="20.1" customHeight="1" spans="1:16">
      <c r="A77" s="283" t="s">
        <v>514</v>
      </c>
      <c r="B77" s="284" t="s">
        <v>1569</v>
      </c>
      <c r="C77" s="285">
        <f t="shared" ref="C77:I77" si="13">SUM(C78:C85)</f>
        <v>225</v>
      </c>
      <c r="D77" s="285">
        <f t="shared" si="9"/>
        <v>208</v>
      </c>
      <c r="E77" s="285">
        <f t="shared" si="13"/>
        <v>3</v>
      </c>
      <c r="F77" s="285">
        <f t="shared" si="13"/>
        <v>0</v>
      </c>
      <c r="G77" s="285">
        <f t="shared" si="13"/>
        <v>0</v>
      </c>
      <c r="H77" s="285">
        <f t="shared" si="13"/>
        <v>0</v>
      </c>
      <c r="I77" s="285">
        <f t="shared" si="13"/>
        <v>205</v>
      </c>
      <c r="J77" s="299">
        <f t="shared" si="12"/>
        <v>92.44</v>
      </c>
      <c r="K77" s="300" t="s">
        <v>3551</v>
      </c>
      <c r="L77" s="301"/>
      <c r="M77" s="312" t="s">
        <v>514</v>
      </c>
      <c r="N77" s="312" t="s">
        <v>505</v>
      </c>
      <c r="O77" s="312" t="s">
        <v>514</v>
      </c>
      <c r="P77" s="313" t="s">
        <v>3602</v>
      </c>
    </row>
    <row r="78" s="106" customFormat="1" ht="20.1" customHeight="1" spans="1:16">
      <c r="A78" s="279" t="s">
        <v>1570</v>
      </c>
      <c r="B78" s="286" t="s">
        <v>1458</v>
      </c>
      <c r="C78" s="287">
        <v>223</v>
      </c>
      <c r="D78" s="288">
        <f t="shared" si="9"/>
        <v>204</v>
      </c>
      <c r="E78" s="287"/>
      <c r="F78" s="287"/>
      <c r="G78" s="287"/>
      <c r="H78" s="287"/>
      <c r="I78" s="302">
        <v>204</v>
      </c>
      <c r="J78" s="303">
        <f t="shared" si="12"/>
        <v>91.48</v>
      </c>
      <c r="K78" s="294" t="s">
        <v>3555</v>
      </c>
      <c r="L78" s="44">
        <v>1</v>
      </c>
      <c r="M78" s="308" t="s">
        <v>1570</v>
      </c>
      <c r="N78" s="308"/>
      <c r="O78" s="308" t="s">
        <v>514</v>
      </c>
      <c r="P78" s="314" t="s">
        <v>3556</v>
      </c>
    </row>
    <row r="79" s="106" customFormat="1" ht="20.1" customHeight="1" spans="1:16">
      <c r="A79" s="279" t="s">
        <v>1571</v>
      </c>
      <c r="B79" s="286" t="s">
        <v>1460</v>
      </c>
      <c r="C79" s="287"/>
      <c r="D79" s="288">
        <f t="shared" si="9"/>
        <v>0</v>
      </c>
      <c r="E79" s="287"/>
      <c r="F79" s="287"/>
      <c r="G79" s="287"/>
      <c r="H79" s="287"/>
      <c r="I79" s="302"/>
      <c r="J79" s="303">
        <f t="shared" si="12"/>
        <v>0</v>
      </c>
      <c r="K79" s="294" t="s">
        <v>3555</v>
      </c>
      <c r="L79" s="44">
        <v>1</v>
      </c>
      <c r="M79" s="308" t="s">
        <v>1571</v>
      </c>
      <c r="N79" s="308"/>
      <c r="O79" s="308" t="s">
        <v>514</v>
      </c>
      <c r="P79" s="314" t="s">
        <v>3557</v>
      </c>
    </row>
    <row r="80" s="106" customFormat="1" ht="20.1" customHeight="1" spans="1:16">
      <c r="A80" s="279" t="s">
        <v>1572</v>
      </c>
      <c r="B80" s="286" t="s">
        <v>1462</v>
      </c>
      <c r="C80" s="287"/>
      <c r="D80" s="288">
        <f t="shared" si="9"/>
        <v>0</v>
      </c>
      <c r="E80" s="287"/>
      <c r="F80" s="287"/>
      <c r="G80" s="287"/>
      <c r="H80" s="287"/>
      <c r="I80" s="302"/>
      <c r="J80" s="303">
        <f t="shared" si="12"/>
        <v>0</v>
      </c>
      <c r="K80" s="294" t="s">
        <v>3555</v>
      </c>
      <c r="L80" s="44">
        <v>1</v>
      </c>
      <c r="M80" s="308" t="s">
        <v>1572</v>
      </c>
      <c r="N80" s="308"/>
      <c r="O80" s="308" t="s">
        <v>514</v>
      </c>
      <c r="P80" s="314" t="s">
        <v>3558</v>
      </c>
    </row>
    <row r="81" s="106" customFormat="1" ht="20.1" customHeight="1" spans="1:16">
      <c r="A81" s="279" t="s">
        <v>1573</v>
      </c>
      <c r="B81" s="289" t="s">
        <v>1574</v>
      </c>
      <c r="C81" s="287"/>
      <c r="D81" s="288">
        <f t="shared" si="9"/>
        <v>1</v>
      </c>
      <c r="E81" s="287"/>
      <c r="F81" s="287"/>
      <c r="G81" s="287"/>
      <c r="H81" s="287"/>
      <c r="I81" s="302">
        <v>1</v>
      </c>
      <c r="J81" s="303">
        <f t="shared" si="12"/>
        <v>100</v>
      </c>
      <c r="K81" s="294" t="s">
        <v>3555</v>
      </c>
      <c r="L81" s="44">
        <v>1</v>
      </c>
      <c r="M81" s="308" t="s">
        <v>1573</v>
      </c>
      <c r="N81" s="308"/>
      <c r="O81" s="308" t="s">
        <v>514</v>
      </c>
      <c r="P81" s="309" t="s">
        <v>3603</v>
      </c>
    </row>
    <row r="82" s="106" customFormat="1" ht="20.1" customHeight="1" spans="1:16">
      <c r="A82" s="279" t="s">
        <v>1575</v>
      </c>
      <c r="B82" s="289" t="s">
        <v>1576</v>
      </c>
      <c r="C82" s="287"/>
      <c r="D82" s="288">
        <f t="shared" si="9"/>
        <v>0</v>
      </c>
      <c r="E82" s="287"/>
      <c r="F82" s="287"/>
      <c r="G82" s="287"/>
      <c r="H82" s="287"/>
      <c r="I82" s="302"/>
      <c r="J82" s="303">
        <f t="shared" si="12"/>
        <v>0</v>
      </c>
      <c r="K82" s="294" t="s">
        <v>3555</v>
      </c>
      <c r="L82" s="44">
        <v>1</v>
      </c>
      <c r="M82" s="308" t="s">
        <v>1575</v>
      </c>
      <c r="N82" s="308"/>
      <c r="O82" s="308" t="s">
        <v>514</v>
      </c>
      <c r="P82" s="309" t="s">
        <v>3604</v>
      </c>
    </row>
    <row r="83" s="106" customFormat="1" ht="20.1" customHeight="1" spans="1:16">
      <c r="A83" s="279" t="s">
        <v>1577</v>
      </c>
      <c r="B83" s="289" t="s">
        <v>1553</v>
      </c>
      <c r="C83" s="287"/>
      <c r="D83" s="288">
        <f t="shared" si="9"/>
        <v>0</v>
      </c>
      <c r="E83" s="287"/>
      <c r="F83" s="287"/>
      <c r="G83" s="287"/>
      <c r="H83" s="287"/>
      <c r="I83" s="302"/>
      <c r="J83" s="303">
        <f t="shared" si="12"/>
        <v>0</v>
      </c>
      <c r="K83" s="294" t="s">
        <v>3555</v>
      </c>
      <c r="L83" s="44">
        <v>1</v>
      </c>
      <c r="M83" s="308" t="s">
        <v>1577</v>
      </c>
      <c r="N83" s="308"/>
      <c r="O83" s="308" t="s">
        <v>514</v>
      </c>
      <c r="P83" s="314" t="s">
        <v>3596</v>
      </c>
    </row>
    <row r="84" s="106" customFormat="1" ht="20.1" customHeight="1" spans="1:16">
      <c r="A84" s="279" t="s">
        <v>1578</v>
      </c>
      <c r="B84" s="289" t="s">
        <v>1476</v>
      </c>
      <c r="C84" s="287"/>
      <c r="D84" s="288">
        <f t="shared" si="9"/>
        <v>0</v>
      </c>
      <c r="E84" s="287"/>
      <c r="F84" s="287"/>
      <c r="G84" s="287"/>
      <c r="H84" s="287"/>
      <c r="I84" s="302"/>
      <c r="J84" s="303">
        <f t="shared" si="12"/>
        <v>0</v>
      </c>
      <c r="K84" s="294" t="s">
        <v>3555</v>
      </c>
      <c r="L84" s="44">
        <v>1</v>
      </c>
      <c r="M84" s="308" t="s">
        <v>1578</v>
      </c>
      <c r="N84" s="308"/>
      <c r="O84" s="308" t="s">
        <v>514</v>
      </c>
      <c r="P84" s="314" t="s">
        <v>3565</v>
      </c>
    </row>
    <row r="85" s="106" customFormat="1" ht="20.1" customHeight="1" spans="1:16">
      <c r="A85" s="279" t="s">
        <v>1579</v>
      </c>
      <c r="B85" s="41" t="s">
        <v>1580</v>
      </c>
      <c r="C85" s="287">
        <v>2</v>
      </c>
      <c r="D85" s="288">
        <f t="shared" si="9"/>
        <v>3</v>
      </c>
      <c r="E85" s="287">
        <v>3</v>
      </c>
      <c r="F85" s="287"/>
      <c r="G85" s="287"/>
      <c r="H85" s="287"/>
      <c r="I85" s="302"/>
      <c r="J85" s="303">
        <f t="shared" si="12"/>
        <v>150</v>
      </c>
      <c r="K85" s="294" t="s">
        <v>3555</v>
      </c>
      <c r="L85" s="44">
        <v>1</v>
      </c>
      <c r="M85" s="308" t="s">
        <v>1579</v>
      </c>
      <c r="N85" s="308"/>
      <c r="O85" s="308" t="s">
        <v>514</v>
      </c>
      <c r="P85" s="309" t="s">
        <v>3605</v>
      </c>
    </row>
    <row r="86" s="107" customFormat="1" ht="20.1" customHeight="1" spans="1:16">
      <c r="A86" s="283" t="s">
        <v>515</v>
      </c>
      <c r="B86" s="284" t="s">
        <v>1581</v>
      </c>
      <c r="C86" s="285">
        <v>0</v>
      </c>
      <c r="D86" s="285">
        <f t="shared" si="9"/>
        <v>0</v>
      </c>
      <c r="E86" s="285">
        <f t="shared" ref="E86:H86" si="14">SUM(E87:E98)</f>
        <v>0</v>
      </c>
      <c r="F86" s="285">
        <f t="shared" si="14"/>
        <v>0</v>
      </c>
      <c r="G86" s="285">
        <f>VLOOKUP(A86,[1]√表四、2025年公共财政支出变动表!$A$8:$S$221,18,FALSE)</f>
        <v>0</v>
      </c>
      <c r="H86" s="285">
        <f t="shared" si="14"/>
        <v>0</v>
      </c>
      <c r="I86" s="285"/>
      <c r="J86" s="299">
        <f t="shared" si="12"/>
        <v>0</v>
      </c>
      <c r="K86" s="300" t="s">
        <v>3551</v>
      </c>
      <c r="L86" s="301"/>
      <c r="M86" s="312" t="s">
        <v>515</v>
      </c>
      <c r="N86" s="312" t="s">
        <v>505</v>
      </c>
      <c r="O86" s="312" t="s">
        <v>515</v>
      </c>
      <c r="P86" s="313" t="s">
        <v>3606</v>
      </c>
    </row>
    <row r="87" s="106" customFormat="1" ht="20.1" customHeight="1" spans="1:16">
      <c r="A87" s="279" t="s">
        <v>1582</v>
      </c>
      <c r="B87" s="286" t="s">
        <v>1458</v>
      </c>
      <c r="C87" s="287">
        <v>0</v>
      </c>
      <c r="D87" s="288">
        <f t="shared" si="9"/>
        <v>0</v>
      </c>
      <c r="E87" s="287"/>
      <c r="F87" s="287"/>
      <c r="G87" s="287"/>
      <c r="H87" s="287"/>
      <c r="I87" s="302"/>
      <c r="J87" s="303">
        <f t="shared" si="12"/>
        <v>0</v>
      </c>
      <c r="K87" s="294" t="s">
        <v>3555</v>
      </c>
      <c r="L87" s="44">
        <v>1</v>
      </c>
      <c r="M87" s="308" t="s">
        <v>1582</v>
      </c>
      <c r="N87" s="308"/>
      <c r="O87" s="308" t="s">
        <v>515</v>
      </c>
      <c r="P87" s="314" t="s">
        <v>3556</v>
      </c>
    </row>
    <row r="88" s="106" customFormat="1" ht="20.1" customHeight="1" spans="1:16">
      <c r="A88" s="279" t="s">
        <v>1583</v>
      </c>
      <c r="B88" s="289" t="s">
        <v>1460</v>
      </c>
      <c r="C88" s="287">
        <v>0</v>
      </c>
      <c r="D88" s="288">
        <f t="shared" si="9"/>
        <v>0</v>
      </c>
      <c r="E88" s="287"/>
      <c r="F88" s="287"/>
      <c r="G88" s="287"/>
      <c r="H88" s="287"/>
      <c r="I88" s="302"/>
      <c r="J88" s="303">
        <f t="shared" si="12"/>
        <v>0</v>
      </c>
      <c r="K88" s="294" t="s">
        <v>3555</v>
      </c>
      <c r="L88" s="44">
        <v>1</v>
      </c>
      <c r="M88" s="308" t="s">
        <v>1583</v>
      </c>
      <c r="N88" s="308"/>
      <c r="O88" s="308" t="s">
        <v>515</v>
      </c>
      <c r="P88" s="314" t="s">
        <v>3557</v>
      </c>
    </row>
    <row r="89" s="106" customFormat="1" ht="20.1" customHeight="1" spans="1:16">
      <c r="A89" s="279" t="s">
        <v>1584</v>
      </c>
      <c r="B89" s="289" t="s">
        <v>1462</v>
      </c>
      <c r="C89" s="287">
        <v>0</v>
      </c>
      <c r="D89" s="288">
        <f t="shared" si="9"/>
        <v>0</v>
      </c>
      <c r="E89" s="287"/>
      <c r="F89" s="287"/>
      <c r="G89" s="287"/>
      <c r="H89" s="287"/>
      <c r="I89" s="302"/>
      <c r="J89" s="303">
        <f t="shared" si="12"/>
        <v>0</v>
      </c>
      <c r="K89" s="294" t="s">
        <v>3555</v>
      </c>
      <c r="L89" s="44">
        <v>1</v>
      </c>
      <c r="M89" s="308" t="s">
        <v>1584</v>
      </c>
      <c r="N89" s="308"/>
      <c r="O89" s="308" t="s">
        <v>515</v>
      </c>
      <c r="P89" s="314" t="s">
        <v>3558</v>
      </c>
    </row>
    <row r="90" s="106" customFormat="1" ht="20.1" customHeight="1" spans="1:16">
      <c r="A90" s="279" t="s">
        <v>1585</v>
      </c>
      <c r="B90" s="286" t="s">
        <v>1586</v>
      </c>
      <c r="C90" s="287">
        <v>0</v>
      </c>
      <c r="D90" s="288">
        <f t="shared" si="9"/>
        <v>0</v>
      </c>
      <c r="E90" s="287"/>
      <c r="F90" s="287"/>
      <c r="G90" s="287"/>
      <c r="H90" s="287"/>
      <c r="I90" s="302"/>
      <c r="J90" s="303">
        <f t="shared" si="12"/>
        <v>0</v>
      </c>
      <c r="K90" s="294" t="s">
        <v>3555</v>
      </c>
      <c r="L90" s="44">
        <v>1</v>
      </c>
      <c r="M90" s="308" t="s">
        <v>1585</v>
      </c>
      <c r="N90" s="308"/>
      <c r="O90" s="308" t="s">
        <v>515</v>
      </c>
      <c r="P90" s="314" t="s">
        <v>3607</v>
      </c>
    </row>
    <row r="91" s="106" customFormat="1" ht="20.1" customHeight="1" spans="1:16">
      <c r="A91" s="279" t="s">
        <v>1587</v>
      </c>
      <c r="B91" s="286" t="s">
        <v>1588</v>
      </c>
      <c r="C91" s="287">
        <v>0</v>
      </c>
      <c r="D91" s="288">
        <f t="shared" si="9"/>
        <v>0</v>
      </c>
      <c r="E91" s="287"/>
      <c r="F91" s="287"/>
      <c r="G91" s="287"/>
      <c r="H91" s="287"/>
      <c r="I91" s="302"/>
      <c r="J91" s="303">
        <f t="shared" si="12"/>
        <v>0</v>
      </c>
      <c r="K91" s="294" t="s">
        <v>3555</v>
      </c>
      <c r="L91" s="44">
        <v>1</v>
      </c>
      <c r="M91" s="308" t="s">
        <v>1587</v>
      </c>
      <c r="N91" s="308"/>
      <c r="O91" s="308" t="s">
        <v>515</v>
      </c>
      <c r="P91" s="314" t="s">
        <v>3608</v>
      </c>
    </row>
    <row r="92" s="106" customFormat="1" ht="20.1" customHeight="1" spans="1:16">
      <c r="A92" s="279" t="s">
        <v>1589</v>
      </c>
      <c r="B92" s="286" t="s">
        <v>1553</v>
      </c>
      <c r="C92" s="287">
        <v>0</v>
      </c>
      <c r="D92" s="288">
        <f t="shared" si="9"/>
        <v>0</v>
      </c>
      <c r="E92" s="287"/>
      <c r="F92" s="287"/>
      <c r="G92" s="287"/>
      <c r="H92" s="287"/>
      <c r="I92" s="302"/>
      <c r="J92" s="303">
        <f t="shared" si="12"/>
        <v>0</v>
      </c>
      <c r="K92" s="294" t="s">
        <v>3555</v>
      </c>
      <c r="L92" s="44">
        <v>1</v>
      </c>
      <c r="M92" s="308" t="s">
        <v>1589</v>
      </c>
      <c r="N92" s="308"/>
      <c r="O92" s="308" t="s">
        <v>515</v>
      </c>
      <c r="P92" s="314" t="s">
        <v>3596</v>
      </c>
    </row>
    <row r="93" s="106" customFormat="1" ht="20.1" customHeight="1" spans="1:16">
      <c r="A93" s="279" t="s">
        <v>1590</v>
      </c>
      <c r="B93" s="286" t="s">
        <v>1591</v>
      </c>
      <c r="C93" s="287">
        <v>0</v>
      </c>
      <c r="D93" s="288">
        <f t="shared" si="9"/>
        <v>0</v>
      </c>
      <c r="E93" s="287"/>
      <c r="F93" s="287"/>
      <c r="G93" s="287"/>
      <c r="H93" s="287"/>
      <c r="I93" s="302"/>
      <c r="J93" s="303">
        <f t="shared" si="12"/>
        <v>0</v>
      </c>
      <c r="K93" s="294" t="s">
        <v>3555</v>
      </c>
      <c r="L93" s="44">
        <v>1</v>
      </c>
      <c r="M93" s="308" t="s">
        <v>1590</v>
      </c>
      <c r="N93" s="308"/>
      <c r="O93" s="308" t="s">
        <v>515</v>
      </c>
      <c r="P93" s="314" t="s">
        <v>3609</v>
      </c>
    </row>
    <row r="94" s="106" customFormat="1" ht="20.1" customHeight="1" spans="1:16">
      <c r="A94" s="279" t="s">
        <v>1592</v>
      </c>
      <c r="B94" s="286" t="s">
        <v>1593</v>
      </c>
      <c r="C94" s="287">
        <v>0</v>
      </c>
      <c r="D94" s="288">
        <f t="shared" si="9"/>
        <v>0</v>
      </c>
      <c r="E94" s="287"/>
      <c r="F94" s="287"/>
      <c r="G94" s="287"/>
      <c r="H94" s="287"/>
      <c r="I94" s="302"/>
      <c r="J94" s="303">
        <f t="shared" si="12"/>
        <v>0</v>
      </c>
      <c r="K94" s="294" t="s">
        <v>3555</v>
      </c>
      <c r="L94" s="44">
        <v>1</v>
      </c>
      <c r="M94" s="308" t="s">
        <v>1592</v>
      </c>
      <c r="N94" s="308"/>
      <c r="O94" s="308" t="s">
        <v>515</v>
      </c>
      <c r="P94" s="314" t="s">
        <v>3610</v>
      </c>
    </row>
    <row r="95" s="106" customFormat="1" ht="20.1" customHeight="1" spans="1:16">
      <c r="A95" s="279" t="s">
        <v>1594</v>
      </c>
      <c r="B95" s="286" t="s">
        <v>1595</v>
      </c>
      <c r="C95" s="287">
        <v>0</v>
      </c>
      <c r="D95" s="288">
        <f t="shared" si="9"/>
        <v>0</v>
      </c>
      <c r="E95" s="287"/>
      <c r="F95" s="287"/>
      <c r="G95" s="287"/>
      <c r="H95" s="287"/>
      <c r="I95" s="302"/>
      <c r="J95" s="303">
        <f t="shared" si="12"/>
        <v>0</v>
      </c>
      <c r="K95" s="294" t="s">
        <v>3555</v>
      </c>
      <c r="L95" s="44">
        <v>1</v>
      </c>
      <c r="M95" s="308" t="s">
        <v>1594</v>
      </c>
      <c r="N95" s="308"/>
      <c r="O95" s="308" t="s">
        <v>515</v>
      </c>
      <c r="P95" s="314" t="s">
        <v>3611</v>
      </c>
    </row>
    <row r="96" s="106" customFormat="1" ht="20.1" customHeight="1" spans="1:16">
      <c r="A96" s="279" t="s">
        <v>1596</v>
      </c>
      <c r="B96" s="286" t="s">
        <v>1597</v>
      </c>
      <c r="C96" s="287">
        <v>0</v>
      </c>
      <c r="D96" s="288">
        <f t="shared" si="9"/>
        <v>0</v>
      </c>
      <c r="E96" s="287"/>
      <c r="F96" s="287"/>
      <c r="G96" s="287"/>
      <c r="H96" s="287"/>
      <c r="I96" s="302"/>
      <c r="J96" s="303">
        <f t="shared" si="12"/>
        <v>0</v>
      </c>
      <c r="K96" s="294" t="s">
        <v>3555</v>
      </c>
      <c r="L96" s="44">
        <v>1</v>
      </c>
      <c r="M96" s="308" t="s">
        <v>1596</v>
      </c>
      <c r="N96" s="308"/>
      <c r="O96" s="308" t="s">
        <v>515</v>
      </c>
      <c r="P96" s="314" t="s">
        <v>3612</v>
      </c>
    </row>
    <row r="97" s="106" customFormat="1" ht="20.1" customHeight="1" spans="1:16">
      <c r="A97" s="279" t="s">
        <v>1598</v>
      </c>
      <c r="B97" s="289" t="s">
        <v>1476</v>
      </c>
      <c r="C97" s="287">
        <v>0</v>
      </c>
      <c r="D97" s="288">
        <f t="shared" si="9"/>
        <v>0</v>
      </c>
      <c r="E97" s="287"/>
      <c r="F97" s="287"/>
      <c r="G97" s="287"/>
      <c r="H97" s="287"/>
      <c r="I97" s="302"/>
      <c r="J97" s="303">
        <f t="shared" si="12"/>
        <v>0</v>
      </c>
      <c r="K97" s="294" t="s">
        <v>3555</v>
      </c>
      <c r="L97" s="44">
        <v>1</v>
      </c>
      <c r="M97" s="308" t="s">
        <v>1598</v>
      </c>
      <c r="N97" s="308"/>
      <c r="O97" s="308" t="s">
        <v>515</v>
      </c>
      <c r="P97" s="314" t="s">
        <v>3565</v>
      </c>
    </row>
    <row r="98" s="106" customFormat="1" ht="20.1" customHeight="1" spans="1:16">
      <c r="A98" s="279" t="s">
        <v>1599</v>
      </c>
      <c r="B98" s="289" t="s">
        <v>1600</v>
      </c>
      <c r="C98" s="287">
        <v>0</v>
      </c>
      <c r="D98" s="288">
        <f t="shared" si="9"/>
        <v>0</v>
      </c>
      <c r="E98" s="287"/>
      <c r="F98" s="287"/>
      <c r="G98" s="287"/>
      <c r="H98" s="287"/>
      <c r="I98" s="302"/>
      <c r="J98" s="303">
        <f t="shared" si="12"/>
        <v>0</v>
      </c>
      <c r="K98" s="294" t="s">
        <v>3555</v>
      </c>
      <c r="L98" s="44">
        <v>1</v>
      </c>
      <c r="M98" s="308" t="s">
        <v>1599</v>
      </c>
      <c r="N98" s="308"/>
      <c r="O98" s="308" t="s">
        <v>515</v>
      </c>
      <c r="P98" s="314" t="s">
        <v>3613</v>
      </c>
    </row>
    <row r="99" s="107" customFormat="1" ht="20.1" customHeight="1" spans="1:16">
      <c r="A99" s="283" t="s">
        <v>516</v>
      </c>
      <c r="B99" s="284" t="s">
        <v>1601</v>
      </c>
      <c r="C99" s="285">
        <f t="shared" ref="C99:I99" si="15">SUM(C100:C107)</f>
        <v>1790</v>
      </c>
      <c r="D99" s="285">
        <f t="shared" si="9"/>
        <v>1660</v>
      </c>
      <c r="E99" s="285">
        <f t="shared" si="15"/>
        <v>30</v>
      </c>
      <c r="F99" s="285">
        <f t="shared" si="15"/>
        <v>0</v>
      </c>
      <c r="G99" s="285">
        <f t="shared" si="15"/>
        <v>47</v>
      </c>
      <c r="H99" s="285">
        <f t="shared" si="15"/>
        <v>0</v>
      </c>
      <c r="I99" s="285">
        <f t="shared" si="15"/>
        <v>1583</v>
      </c>
      <c r="J99" s="299">
        <f t="shared" si="12"/>
        <v>92.74</v>
      </c>
      <c r="K99" s="300" t="s">
        <v>3551</v>
      </c>
      <c r="L99" s="301"/>
      <c r="M99" s="312" t="s">
        <v>516</v>
      </c>
      <c r="N99" s="312" t="s">
        <v>505</v>
      </c>
      <c r="O99" s="312" t="s">
        <v>516</v>
      </c>
      <c r="P99" s="313" t="s">
        <v>3614</v>
      </c>
    </row>
    <row r="100" s="106" customFormat="1" ht="20.1" customHeight="1" spans="1:16">
      <c r="A100" s="279" t="s">
        <v>1602</v>
      </c>
      <c r="B100" s="286" t="s">
        <v>1458</v>
      </c>
      <c r="C100" s="287">
        <v>1186</v>
      </c>
      <c r="D100" s="288">
        <f t="shared" si="9"/>
        <v>1254</v>
      </c>
      <c r="E100" s="287"/>
      <c r="F100" s="287"/>
      <c r="G100" s="287"/>
      <c r="H100" s="287"/>
      <c r="I100" s="302">
        <v>1254</v>
      </c>
      <c r="J100" s="303">
        <f t="shared" si="12"/>
        <v>105.73</v>
      </c>
      <c r="K100" s="294" t="s">
        <v>3555</v>
      </c>
      <c r="L100" s="44">
        <v>1</v>
      </c>
      <c r="M100" s="308" t="s">
        <v>1602</v>
      </c>
      <c r="N100" s="308"/>
      <c r="O100" s="308" t="s">
        <v>516</v>
      </c>
      <c r="P100" s="314" t="s">
        <v>3556</v>
      </c>
    </row>
    <row r="101" s="106" customFormat="1" ht="20.1" customHeight="1" spans="1:16">
      <c r="A101" s="279" t="s">
        <v>1603</v>
      </c>
      <c r="B101" s="286" t="s">
        <v>1460</v>
      </c>
      <c r="C101" s="287"/>
      <c r="D101" s="288">
        <f t="shared" si="9"/>
        <v>0</v>
      </c>
      <c r="E101" s="287"/>
      <c r="F101" s="287"/>
      <c r="G101" s="287"/>
      <c r="H101" s="287"/>
      <c r="I101" s="302"/>
      <c r="J101" s="303">
        <f t="shared" si="12"/>
        <v>0</v>
      </c>
      <c r="K101" s="294" t="s">
        <v>3555</v>
      </c>
      <c r="L101" s="44">
        <v>1</v>
      </c>
      <c r="M101" s="308" t="s">
        <v>1603</v>
      </c>
      <c r="N101" s="308"/>
      <c r="O101" s="308" t="s">
        <v>516</v>
      </c>
      <c r="P101" s="314" t="s">
        <v>3557</v>
      </c>
    </row>
    <row r="102" s="106" customFormat="1" ht="20.1" customHeight="1" spans="1:16">
      <c r="A102" s="279" t="s">
        <v>1604</v>
      </c>
      <c r="B102" s="286" t="s">
        <v>1462</v>
      </c>
      <c r="C102" s="287"/>
      <c r="D102" s="288">
        <f t="shared" si="9"/>
        <v>0</v>
      </c>
      <c r="E102" s="287"/>
      <c r="F102" s="287"/>
      <c r="G102" s="287"/>
      <c r="H102" s="287"/>
      <c r="I102" s="302"/>
      <c r="J102" s="303">
        <f t="shared" si="12"/>
        <v>0</v>
      </c>
      <c r="K102" s="294" t="s">
        <v>3555</v>
      </c>
      <c r="L102" s="44">
        <v>1</v>
      </c>
      <c r="M102" s="308" t="s">
        <v>1604</v>
      </c>
      <c r="N102" s="308"/>
      <c r="O102" s="308" t="s">
        <v>516</v>
      </c>
      <c r="P102" s="314" t="s">
        <v>3558</v>
      </c>
    </row>
    <row r="103" s="106" customFormat="1" ht="20.1" customHeight="1" spans="1:16">
      <c r="A103" s="279" t="s">
        <v>1605</v>
      </c>
      <c r="B103" s="289" t="s">
        <v>1606</v>
      </c>
      <c r="C103" s="287">
        <v>3</v>
      </c>
      <c r="D103" s="288">
        <f t="shared" si="9"/>
        <v>67</v>
      </c>
      <c r="E103" s="287">
        <v>30</v>
      </c>
      <c r="F103" s="287"/>
      <c r="G103" s="287">
        <v>37</v>
      </c>
      <c r="H103" s="287"/>
      <c r="I103" s="302"/>
      <c r="J103" s="303">
        <f t="shared" si="12"/>
        <v>2233.33</v>
      </c>
      <c r="K103" s="294" t="s">
        <v>3555</v>
      </c>
      <c r="L103" s="44">
        <v>1</v>
      </c>
      <c r="M103" s="308" t="s">
        <v>1605</v>
      </c>
      <c r="N103" s="308"/>
      <c r="O103" s="308" t="s">
        <v>516</v>
      </c>
      <c r="P103" s="309" t="s">
        <v>3615</v>
      </c>
    </row>
    <row r="104" s="106" customFormat="1" ht="20.1" customHeight="1" spans="1:16">
      <c r="A104" s="279" t="s">
        <v>1607</v>
      </c>
      <c r="B104" s="289" t="s">
        <v>1608</v>
      </c>
      <c r="C104" s="287"/>
      <c r="D104" s="288">
        <f t="shared" si="9"/>
        <v>0</v>
      </c>
      <c r="E104" s="287"/>
      <c r="F104" s="287"/>
      <c r="G104" s="287"/>
      <c r="H104" s="287"/>
      <c r="I104" s="302"/>
      <c r="J104" s="303">
        <f t="shared" si="12"/>
        <v>0</v>
      </c>
      <c r="K104" s="294" t="s">
        <v>3555</v>
      </c>
      <c r="L104" s="44">
        <v>1</v>
      </c>
      <c r="M104" s="308" t="s">
        <v>1607</v>
      </c>
      <c r="N104" s="308"/>
      <c r="O104" s="308" t="s">
        <v>516</v>
      </c>
      <c r="P104" s="309" t="s">
        <v>3616</v>
      </c>
    </row>
    <row r="105" s="106" customFormat="1" ht="20.1" customHeight="1" spans="1:16">
      <c r="A105" s="279" t="s">
        <v>1609</v>
      </c>
      <c r="B105" s="289" t="s">
        <v>1610</v>
      </c>
      <c r="C105" s="287"/>
      <c r="D105" s="288">
        <f t="shared" si="9"/>
        <v>0</v>
      </c>
      <c r="E105" s="287"/>
      <c r="F105" s="287"/>
      <c r="G105" s="287"/>
      <c r="H105" s="287"/>
      <c r="I105" s="302"/>
      <c r="J105" s="303">
        <f t="shared" si="12"/>
        <v>0</v>
      </c>
      <c r="K105" s="294" t="s">
        <v>3555</v>
      </c>
      <c r="L105" s="44">
        <v>1</v>
      </c>
      <c r="M105" s="308" t="s">
        <v>1609</v>
      </c>
      <c r="N105" s="308"/>
      <c r="O105" s="308" t="s">
        <v>516</v>
      </c>
      <c r="P105" s="309" t="s">
        <v>3617</v>
      </c>
    </row>
    <row r="106" s="106" customFormat="1" ht="20.1" customHeight="1" spans="1:16">
      <c r="A106" s="279" t="s">
        <v>1611</v>
      </c>
      <c r="B106" s="286" t="s">
        <v>1476</v>
      </c>
      <c r="C106" s="287"/>
      <c r="D106" s="288">
        <f t="shared" si="9"/>
        <v>0</v>
      </c>
      <c r="E106" s="287"/>
      <c r="F106" s="287"/>
      <c r="G106" s="287"/>
      <c r="H106" s="287"/>
      <c r="I106" s="302"/>
      <c r="J106" s="303">
        <f t="shared" si="12"/>
        <v>0</v>
      </c>
      <c r="K106" s="294" t="s">
        <v>3555</v>
      </c>
      <c r="L106" s="44">
        <v>1</v>
      </c>
      <c r="M106" s="308" t="s">
        <v>1611</v>
      </c>
      <c r="N106" s="308"/>
      <c r="O106" s="308" t="s">
        <v>516</v>
      </c>
      <c r="P106" s="314" t="s">
        <v>3565</v>
      </c>
    </row>
    <row r="107" s="106" customFormat="1" ht="20.1" customHeight="1" spans="1:16">
      <c r="A107" s="279" t="s">
        <v>1612</v>
      </c>
      <c r="B107" s="286" t="s">
        <v>1613</v>
      </c>
      <c r="C107" s="287">
        <v>601</v>
      </c>
      <c r="D107" s="288">
        <f t="shared" si="9"/>
        <v>339</v>
      </c>
      <c r="E107" s="287"/>
      <c r="F107" s="287"/>
      <c r="G107" s="287">
        <v>10</v>
      </c>
      <c r="H107" s="287"/>
      <c r="I107" s="302">
        <v>329</v>
      </c>
      <c r="J107" s="303">
        <f t="shared" si="12"/>
        <v>56.41</v>
      </c>
      <c r="K107" s="294" t="s">
        <v>3555</v>
      </c>
      <c r="L107" s="44">
        <v>1</v>
      </c>
      <c r="M107" s="308" t="s">
        <v>1612</v>
      </c>
      <c r="N107" s="308"/>
      <c r="O107" s="308" t="s">
        <v>516</v>
      </c>
      <c r="P107" s="309" t="s">
        <v>3618</v>
      </c>
    </row>
    <row r="108" s="107" customFormat="1" ht="20.1" customHeight="1" spans="1:16">
      <c r="A108" s="283" t="s">
        <v>517</v>
      </c>
      <c r="B108" s="284" t="s">
        <v>1614</v>
      </c>
      <c r="C108" s="285">
        <f t="shared" ref="C108:I108" si="16">SUM(C109:C118)</f>
        <v>139</v>
      </c>
      <c r="D108" s="285">
        <f t="shared" si="9"/>
        <v>148</v>
      </c>
      <c r="E108" s="285">
        <f t="shared" si="16"/>
        <v>0</v>
      </c>
      <c r="F108" s="285">
        <f t="shared" si="16"/>
        <v>0</v>
      </c>
      <c r="G108" s="285">
        <f t="shared" si="16"/>
        <v>0</v>
      </c>
      <c r="H108" s="285">
        <f t="shared" si="16"/>
        <v>0</v>
      </c>
      <c r="I108" s="285">
        <f t="shared" si="16"/>
        <v>148</v>
      </c>
      <c r="J108" s="299">
        <f t="shared" si="12"/>
        <v>106.47</v>
      </c>
      <c r="K108" s="300" t="s">
        <v>3551</v>
      </c>
      <c r="L108" s="301"/>
      <c r="M108" s="312" t="s">
        <v>517</v>
      </c>
      <c r="N108" s="312" t="s">
        <v>505</v>
      </c>
      <c r="O108" s="312" t="s">
        <v>517</v>
      </c>
      <c r="P108" s="313" t="s">
        <v>3619</v>
      </c>
    </row>
    <row r="109" s="106" customFormat="1" ht="20.1" customHeight="1" spans="1:16">
      <c r="A109" s="279" t="s">
        <v>1615</v>
      </c>
      <c r="B109" s="286" t="s">
        <v>1458</v>
      </c>
      <c r="C109" s="287">
        <v>130</v>
      </c>
      <c r="D109" s="288">
        <f t="shared" si="9"/>
        <v>128</v>
      </c>
      <c r="E109" s="287"/>
      <c r="F109" s="287"/>
      <c r="G109" s="287"/>
      <c r="H109" s="287"/>
      <c r="I109" s="302">
        <v>128</v>
      </c>
      <c r="J109" s="303">
        <f t="shared" si="12"/>
        <v>98.46</v>
      </c>
      <c r="K109" s="294" t="s">
        <v>3555</v>
      </c>
      <c r="L109" s="44">
        <v>1</v>
      </c>
      <c r="M109" s="308" t="s">
        <v>1615</v>
      </c>
      <c r="N109" s="308"/>
      <c r="O109" s="308" t="s">
        <v>517</v>
      </c>
      <c r="P109" s="314" t="s">
        <v>3556</v>
      </c>
    </row>
    <row r="110" s="106" customFormat="1" ht="20.1" customHeight="1" spans="1:16">
      <c r="A110" s="279" t="s">
        <v>1616</v>
      </c>
      <c r="B110" s="286" t="s">
        <v>1460</v>
      </c>
      <c r="C110" s="287"/>
      <c r="D110" s="288">
        <f t="shared" si="9"/>
        <v>0</v>
      </c>
      <c r="E110" s="287"/>
      <c r="F110" s="287"/>
      <c r="G110" s="287"/>
      <c r="H110" s="287"/>
      <c r="I110" s="302"/>
      <c r="J110" s="303">
        <f t="shared" si="12"/>
        <v>0</v>
      </c>
      <c r="K110" s="294" t="s">
        <v>3555</v>
      </c>
      <c r="L110" s="44">
        <v>1</v>
      </c>
      <c r="M110" s="308" t="s">
        <v>1616</v>
      </c>
      <c r="N110" s="308"/>
      <c r="O110" s="308" t="s">
        <v>517</v>
      </c>
      <c r="P110" s="314" t="s">
        <v>3557</v>
      </c>
    </row>
    <row r="111" s="106" customFormat="1" ht="20.1" customHeight="1" spans="1:16">
      <c r="A111" s="279" t="s">
        <v>1617</v>
      </c>
      <c r="B111" s="286" t="s">
        <v>1462</v>
      </c>
      <c r="C111" s="287"/>
      <c r="D111" s="288">
        <f t="shared" si="9"/>
        <v>0</v>
      </c>
      <c r="E111" s="287"/>
      <c r="F111" s="287"/>
      <c r="G111" s="287"/>
      <c r="H111" s="287"/>
      <c r="I111" s="302"/>
      <c r="J111" s="303">
        <f t="shared" si="12"/>
        <v>0</v>
      </c>
      <c r="K111" s="294" t="s">
        <v>3555</v>
      </c>
      <c r="L111" s="44">
        <v>1</v>
      </c>
      <c r="M111" s="308" t="s">
        <v>1617</v>
      </c>
      <c r="N111" s="308"/>
      <c r="O111" s="308" t="s">
        <v>517</v>
      </c>
      <c r="P111" s="314" t="s">
        <v>3558</v>
      </c>
    </row>
    <row r="112" s="106" customFormat="1" ht="20.1" customHeight="1" spans="1:16">
      <c r="A112" s="279" t="s">
        <v>1618</v>
      </c>
      <c r="B112" s="289" t="s">
        <v>1619</v>
      </c>
      <c r="C112" s="287"/>
      <c r="D112" s="288">
        <f t="shared" si="9"/>
        <v>0</v>
      </c>
      <c r="E112" s="287"/>
      <c r="F112" s="287"/>
      <c r="G112" s="287"/>
      <c r="H112" s="287"/>
      <c r="I112" s="302"/>
      <c r="J112" s="303">
        <f t="shared" si="12"/>
        <v>0</v>
      </c>
      <c r="K112" s="294" t="s">
        <v>3555</v>
      </c>
      <c r="L112" s="44">
        <v>1</v>
      </c>
      <c r="M112" s="308" t="s">
        <v>1618</v>
      </c>
      <c r="N112" s="308"/>
      <c r="O112" s="308" t="s">
        <v>517</v>
      </c>
      <c r="P112" s="309" t="s">
        <v>3620</v>
      </c>
    </row>
    <row r="113" s="106" customFormat="1" ht="20.1" customHeight="1" spans="1:16">
      <c r="A113" s="279" t="s">
        <v>1620</v>
      </c>
      <c r="B113" s="289" t="s">
        <v>1621</v>
      </c>
      <c r="C113" s="287"/>
      <c r="D113" s="288">
        <f t="shared" si="9"/>
        <v>0</v>
      </c>
      <c r="E113" s="287"/>
      <c r="F113" s="287"/>
      <c r="G113" s="287"/>
      <c r="H113" s="287"/>
      <c r="I113" s="302"/>
      <c r="J113" s="303">
        <f t="shared" si="12"/>
        <v>0</v>
      </c>
      <c r="K113" s="294" t="s">
        <v>3555</v>
      </c>
      <c r="L113" s="44">
        <v>1</v>
      </c>
      <c r="M113" s="308" t="s">
        <v>1620</v>
      </c>
      <c r="N113" s="308"/>
      <c r="O113" s="308" t="s">
        <v>517</v>
      </c>
      <c r="P113" s="309" t="s">
        <v>3621</v>
      </c>
    </row>
    <row r="114" s="106" customFormat="1" ht="20.1" customHeight="1" spans="1:16">
      <c r="A114" s="279" t="s">
        <v>1622</v>
      </c>
      <c r="B114" s="289" t="s">
        <v>1623</v>
      </c>
      <c r="C114" s="287"/>
      <c r="D114" s="288">
        <f t="shared" si="9"/>
        <v>0</v>
      </c>
      <c r="E114" s="287"/>
      <c r="F114" s="287"/>
      <c r="G114" s="287"/>
      <c r="H114" s="287"/>
      <c r="I114" s="302"/>
      <c r="J114" s="303">
        <f t="shared" si="12"/>
        <v>0</v>
      </c>
      <c r="K114" s="294" t="s">
        <v>3555</v>
      </c>
      <c r="L114" s="44">
        <v>1</v>
      </c>
      <c r="M114" s="308" t="s">
        <v>1622</v>
      </c>
      <c r="N114" s="308"/>
      <c r="O114" s="308" t="s">
        <v>517</v>
      </c>
      <c r="P114" s="309" t="s">
        <v>3622</v>
      </c>
    </row>
    <row r="115" s="106" customFormat="1" ht="20.1" customHeight="1" spans="1:16">
      <c r="A115" s="279" t="s">
        <v>1624</v>
      </c>
      <c r="B115" s="286" t="s">
        <v>1625</v>
      </c>
      <c r="C115" s="287"/>
      <c r="D115" s="288">
        <f t="shared" si="9"/>
        <v>0</v>
      </c>
      <c r="E115" s="287"/>
      <c r="F115" s="287"/>
      <c r="G115" s="287"/>
      <c r="H115" s="287"/>
      <c r="I115" s="302"/>
      <c r="J115" s="303">
        <f t="shared" si="12"/>
        <v>0</v>
      </c>
      <c r="K115" s="294" t="s">
        <v>3555</v>
      </c>
      <c r="L115" s="44">
        <v>1</v>
      </c>
      <c r="M115" s="308" t="s">
        <v>1624</v>
      </c>
      <c r="N115" s="308"/>
      <c r="O115" s="308" t="s">
        <v>517</v>
      </c>
      <c r="P115" s="309" t="s">
        <v>3623</v>
      </c>
    </row>
    <row r="116" s="106" customFormat="1" ht="20.1" customHeight="1" spans="1:16">
      <c r="A116" s="279" t="s">
        <v>1626</v>
      </c>
      <c r="B116" s="286" t="s">
        <v>1627</v>
      </c>
      <c r="C116" s="287">
        <v>9</v>
      </c>
      <c r="D116" s="288">
        <f t="shared" si="9"/>
        <v>20</v>
      </c>
      <c r="E116" s="287"/>
      <c r="F116" s="287"/>
      <c r="G116" s="287"/>
      <c r="H116" s="287"/>
      <c r="I116" s="302">
        <v>20</v>
      </c>
      <c r="J116" s="303">
        <f t="shared" si="12"/>
        <v>222.22</v>
      </c>
      <c r="K116" s="294" t="s">
        <v>3555</v>
      </c>
      <c r="L116" s="44">
        <v>1</v>
      </c>
      <c r="M116" s="308" t="s">
        <v>1626</v>
      </c>
      <c r="N116" s="308"/>
      <c r="O116" s="308" t="s">
        <v>517</v>
      </c>
      <c r="P116" s="309" t="s">
        <v>3624</v>
      </c>
    </row>
    <row r="117" s="106" customFormat="1" ht="20.1" customHeight="1" spans="1:16">
      <c r="A117" s="279" t="s">
        <v>1628</v>
      </c>
      <c r="B117" s="286" t="s">
        <v>1476</v>
      </c>
      <c r="C117" s="287"/>
      <c r="D117" s="288">
        <f t="shared" si="9"/>
        <v>0</v>
      </c>
      <c r="E117" s="287"/>
      <c r="F117" s="287"/>
      <c r="G117" s="287"/>
      <c r="H117" s="287"/>
      <c r="I117" s="302"/>
      <c r="J117" s="303">
        <f t="shared" si="12"/>
        <v>0</v>
      </c>
      <c r="K117" s="294" t="s">
        <v>3555</v>
      </c>
      <c r="L117" s="44">
        <v>1</v>
      </c>
      <c r="M117" s="308" t="s">
        <v>1628</v>
      </c>
      <c r="N117" s="308"/>
      <c r="O117" s="308" t="s">
        <v>517</v>
      </c>
      <c r="P117" s="314" t="s">
        <v>3565</v>
      </c>
    </row>
    <row r="118" s="106" customFormat="1" ht="20.1" customHeight="1" spans="1:16">
      <c r="A118" s="279" t="s">
        <v>1629</v>
      </c>
      <c r="B118" s="289" t="s">
        <v>1630</v>
      </c>
      <c r="C118" s="287"/>
      <c r="D118" s="288">
        <f t="shared" si="9"/>
        <v>0</v>
      </c>
      <c r="E118" s="287"/>
      <c r="F118" s="287"/>
      <c r="G118" s="287"/>
      <c r="H118" s="287"/>
      <c r="I118" s="302"/>
      <c r="J118" s="303">
        <f t="shared" si="12"/>
        <v>0</v>
      </c>
      <c r="K118" s="294" t="s">
        <v>3555</v>
      </c>
      <c r="L118" s="44">
        <v>1</v>
      </c>
      <c r="M118" s="308" t="s">
        <v>1629</v>
      </c>
      <c r="N118" s="308"/>
      <c r="O118" s="308" t="s">
        <v>517</v>
      </c>
      <c r="P118" s="309" t="s">
        <v>3625</v>
      </c>
    </row>
    <row r="119" s="107" customFormat="1" ht="20.1" customHeight="1" spans="1:16">
      <c r="A119" s="283" t="s">
        <v>518</v>
      </c>
      <c r="B119" s="284" t="s">
        <v>1631</v>
      </c>
      <c r="C119" s="285">
        <f t="shared" ref="C119:I119" si="17">SUM(C120:C130)</f>
        <v>0</v>
      </c>
      <c r="D119" s="285">
        <f t="shared" si="9"/>
        <v>0</v>
      </c>
      <c r="E119" s="285">
        <f t="shared" si="17"/>
        <v>0</v>
      </c>
      <c r="F119" s="285">
        <f t="shared" si="17"/>
        <v>0</v>
      </c>
      <c r="G119" s="285">
        <f t="shared" si="17"/>
        <v>0</v>
      </c>
      <c r="H119" s="285">
        <f t="shared" si="17"/>
        <v>0</v>
      </c>
      <c r="I119" s="285">
        <f t="shared" si="17"/>
        <v>0</v>
      </c>
      <c r="J119" s="299">
        <f t="shared" si="12"/>
        <v>0</v>
      </c>
      <c r="K119" s="300" t="s">
        <v>3551</v>
      </c>
      <c r="L119" s="301"/>
      <c r="M119" s="312" t="s">
        <v>518</v>
      </c>
      <c r="N119" s="312" t="s">
        <v>505</v>
      </c>
      <c r="O119" s="312" t="s">
        <v>518</v>
      </c>
      <c r="P119" s="313" t="s">
        <v>3626</v>
      </c>
    </row>
    <row r="120" s="106" customFormat="1" ht="20.1" customHeight="1" spans="1:16">
      <c r="A120" s="279" t="s">
        <v>1632</v>
      </c>
      <c r="B120" s="289" t="s">
        <v>1458</v>
      </c>
      <c r="C120" s="287">
        <v>0</v>
      </c>
      <c r="D120" s="288">
        <f t="shared" si="9"/>
        <v>0</v>
      </c>
      <c r="E120" s="287"/>
      <c r="F120" s="287"/>
      <c r="G120" s="287"/>
      <c r="H120" s="287"/>
      <c r="I120" s="302"/>
      <c r="J120" s="303">
        <f t="shared" si="12"/>
        <v>0</v>
      </c>
      <c r="K120" s="294" t="s">
        <v>3555</v>
      </c>
      <c r="L120" s="44">
        <v>1</v>
      </c>
      <c r="M120" s="308" t="s">
        <v>1632</v>
      </c>
      <c r="N120" s="308"/>
      <c r="O120" s="308" t="s">
        <v>518</v>
      </c>
      <c r="P120" s="314" t="s">
        <v>3556</v>
      </c>
    </row>
    <row r="121" s="106" customFormat="1" ht="20.1" customHeight="1" spans="1:16">
      <c r="A121" s="279" t="s">
        <v>1633</v>
      </c>
      <c r="B121" s="41" t="s">
        <v>1460</v>
      </c>
      <c r="C121" s="287">
        <v>0</v>
      </c>
      <c r="D121" s="288">
        <f t="shared" si="9"/>
        <v>0</v>
      </c>
      <c r="E121" s="287"/>
      <c r="F121" s="287"/>
      <c r="G121" s="287"/>
      <c r="H121" s="287"/>
      <c r="I121" s="302"/>
      <c r="J121" s="303">
        <f t="shared" si="12"/>
        <v>0</v>
      </c>
      <c r="K121" s="294" t="s">
        <v>3555</v>
      </c>
      <c r="L121" s="44">
        <v>1</v>
      </c>
      <c r="M121" s="308" t="s">
        <v>1633</v>
      </c>
      <c r="N121" s="308"/>
      <c r="O121" s="308" t="s">
        <v>518</v>
      </c>
      <c r="P121" s="314" t="s">
        <v>3557</v>
      </c>
    </row>
    <row r="122" s="106" customFormat="1" ht="20.1" customHeight="1" spans="1:16">
      <c r="A122" s="279" t="s">
        <v>1634</v>
      </c>
      <c r="B122" s="286" t="s">
        <v>1462</v>
      </c>
      <c r="C122" s="287">
        <v>0</v>
      </c>
      <c r="D122" s="288">
        <f t="shared" si="9"/>
        <v>0</v>
      </c>
      <c r="E122" s="287"/>
      <c r="F122" s="287"/>
      <c r="G122" s="287"/>
      <c r="H122" s="287"/>
      <c r="I122" s="302"/>
      <c r="J122" s="303">
        <f t="shared" si="12"/>
        <v>0</v>
      </c>
      <c r="K122" s="294" t="s">
        <v>3555</v>
      </c>
      <c r="L122" s="44">
        <v>1</v>
      </c>
      <c r="M122" s="308" t="s">
        <v>1634</v>
      </c>
      <c r="N122" s="308"/>
      <c r="O122" s="308" t="s">
        <v>518</v>
      </c>
      <c r="P122" s="314" t="s">
        <v>3558</v>
      </c>
    </row>
    <row r="123" s="106" customFormat="1" ht="20.1" customHeight="1" spans="1:16">
      <c r="A123" s="279" t="s">
        <v>1635</v>
      </c>
      <c r="B123" s="286" t="s">
        <v>1636</v>
      </c>
      <c r="C123" s="287">
        <v>0</v>
      </c>
      <c r="D123" s="288">
        <f t="shared" si="9"/>
        <v>0</v>
      </c>
      <c r="E123" s="287"/>
      <c r="F123" s="287"/>
      <c r="G123" s="287"/>
      <c r="H123" s="287"/>
      <c r="I123" s="302"/>
      <c r="J123" s="303">
        <f t="shared" si="12"/>
        <v>0</v>
      </c>
      <c r="K123" s="294" t="s">
        <v>3555</v>
      </c>
      <c r="L123" s="44">
        <v>1</v>
      </c>
      <c r="M123" s="308" t="s">
        <v>1635</v>
      </c>
      <c r="N123" s="308"/>
      <c r="O123" s="308" t="s">
        <v>518</v>
      </c>
      <c r="P123" s="309" t="s">
        <v>3627</v>
      </c>
    </row>
    <row r="124" s="106" customFormat="1" ht="20.1" customHeight="1" spans="1:16">
      <c r="A124" s="279" t="s">
        <v>1637</v>
      </c>
      <c r="B124" s="286" t="s">
        <v>1638</v>
      </c>
      <c r="C124" s="287">
        <v>0</v>
      </c>
      <c r="D124" s="288">
        <f t="shared" si="9"/>
        <v>0</v>
      </c>
      <c r="E124" s="287"/>
      <c r="F124" s="287"/>
      <c r="G124" s="287"/>
      <c r="H124" s="287"/>
      <c r="I124" s="302"/>
      <c r="J124" s="303">
        <f t="shared" si="12"/>
        <v>0</v>
      </c>
      <c r="K124" s="294" t="s">
        <v>3555</v>
      </c>
      <c r="L124" s="44">
        <v>1</v>
      </c>
      <c r="M124" s="308" t="s">
        <v>1637</v>
      </c>
      <c r="N124" s="308"/>
      <c r="O124" s="308" t="s">
        <v>518</v>
      </c>
      <c r="P124" s="315" t="s">
        <v>3628</v>
      </c>
    </row>
    <row r="125" s="106" customFormat="1" ht="20.1" customHeight="1" spans="1:16">
      <c r="A125" s="279" t="s">
        <v>1639</v>
      </c>
      <c r="B125" s="289" t="s">
        <v>1640</v>
      </c>
      <c r="C125" s="287">
        <v>0</v>
      </c>
      <c r="D125" s="288">
        <f t="shared" si="9"/>
        <v>0</v>
      </c>
      <c r="E125" s="287"/>
      <c r="F125" s="287"/>
      <c r="G125" s="287"/>
      <c r="H125" s="287"/>
      <c r="I125" s="302"/>
      <c r="J125" s="303">
        <f t="shared" si="12"/>
        <v>0</v>
      </c>
      <c r="K125" s="294" t="s">
        <v>3555</v>
      </c>
      <c r="L125" s="44">
        <v>1</v>
      </c>
      <c r="M125" s="308" t="s">
        <v>1639</v>
      </c>
      <c r="N125" s="308"/>
      <c r="O125" s="308" t="s">
        <v>518</v>
      </c>
      <c r="P125" s="316" t="s">
        <v>3629</v>
      </c>
    </row>
    <row r="126" s="106" customFormat="1" ht="20.1" customHeight="1" spans="1:16">
      <c r="A126" s="279" t="s">
        <v>1641</v>
      </c>
      <c r="B126" s="286" t="s">
        <v>1642</v>
      </c>
      <c r="C126" s="287">
        <v>0</v>
      </c>
      <c r="D126" s="288">
        <f t="shared" si="9"/>
        <v>0</v>
      </c>
      <c r="E126" s="287"/>
      <c r="F126" s="287"/>
      <c r="G126" s="287"/>
      <c r="H126" s="287"/>
      <c r="I126" s="302"/>
      <c r="J126" s="303">
        <f t="shared" si="12"/>
        <v>0</v>
      </c>
      <c r="K126" s="294" t="s">
        <v>3555</v>
      </c>
      <c r="L126" s="44">
        <v>1</v>
      </c>
      <c r="M126" s="308" t="s">
        <v>1641</v>
      </c>
      <c r="N126" s="308"/>
      <c r="O126" s="308" t="s">
        <v>518</v>
      </c>
      <c r="P126" s="309" t="s">
        <v>3630</v>
      </c>
    </row>
    <row r="127" s="106" customFormat="1" ht="20.1" customHeight="1" spans="1:16">
      <c r="A127" s="279" t="s">
        <v>1643</v>
      </c>
      <c r="B127" s="286" t="s">
        <v>1644</v>
      </c>
      <c r="C127" s="287">
        <v>0</v>
      </c>
      <c r="D127" s="288">
        <f t="shared" si="9"/>
        <v>0</v>
      </c>
      <c r="E127" s="287"/>
      <c r="F127" s="287"/>
      <c r="G127" s="287"/>
      <c r="H127" s="287"/>
      <c r="I127" s="302"/>
      <c r="J127" s="303">
        <f t="shared" si="12"/>
        <v>0</v>
      </c>
      <c r="K127" s="294" t="s">
        <v>3555</v>
      </c>
      <c r="L127" s="44">
        <v>1</v>
      </c>
      <c r="M127" s="308" t="s">
        <v>1643</v>
      </c>
      <c r="N127" s="308"/>
      <c r="O127" s="308" t="s">
        <v>518</v>
      </c>
      <c r="P127" s="314" t="s">
        <v>3631</v>
      </c>
    </row>
    <row r="128" s="106" customFormat="1" ht="20.1" customHeight="1" spans="1:16">
      <c r="A128" s="279" t="s">
        <v>1645</v>
      </c>
      <c r="B128" s="286" t="s">
        <v>1646</v>
      </c>
      <c r="C128" s="287">
        <v>0</v>
      </c>
      <c r="D128" s="288">
        <f t="shared" si="9"/>
        <v>0</v>
      </c>
      <c r="E128" s="287"/>
      <c r="F128" s="287"/>
      <c r="G128" s="287"/>
      <c r="H128" s="287"/>
      <c r="I128" s="302"/>
      <c r="J128" s="303">
        <f t="shared" si="12"/>
        <v>0</v>
      </c>
      <c r="K128" s="294" t="s">
        <v>3555</v>
      </c>
      <c r="L128" s="44">
        <v>1</v>
      </c>
      <c r="M128" s="308" t="s">
        <v>1645</v>
      </c>
      <c r="N128" s="308"/>
      <c r="O128" s="308" t="s">
        <v>518</v>
      </c>
      <c r="P128" s="314" t="s">
        <v>3632</v>
      </c>
    </row>
    <row r="129" s="106" customFormat="1" ht="20.1" customHeight="1" spans="1:16">
      <c r="A129" s="279" t="s">
        <v>1647</v>
      </c>
      <c r="B129" s="286" t="s">
        <v>1476</v>
      </c>
      <c r="C129" s="287">
        <v>0</v>
      </c>
      <c r="D129" s="288">
        <f t="shared" si="9"/>
        <v>0</v>
      </c>
      <c r="E129" s="287"/>
      <c r="F129" s="287"/>
      <c r="G129" s="287"/>
      <c r="H129" s="287"/>
      <c r="I129" s="302"/>
      <c r="J129" s="303">
        <f t="shared" si="12"/>
        <v>0</v>
      </c>
      <c r="K129" s="294" t="s">
        <v>3555</v>
      </c>
      <c r="L129" s="44">
        <v>1</v>
      </c>
      <c r="M129" s="308" t="s">
        <v>1647</v>
      </c>
      <c r="N129" s="308"/>
      <c r="O129" s="308" t="s">
        <v>518</v>
      </c>
      <c r="P129" s="314" t="s">
        <v>3565</v>
      </c>
    </row>
    <row r="130" s="106" customFormat="1" ht="20.1" customHeight="1" spans="1:16">
      <c r="A130" s="279" t="s">
        <v>1648</v>
      </c>
      <c r="B130" s="286" t="s">
        <v>1649</v>
      </c>
      <c r="C130" s="287">
        <v>0</v>
      </c>
      <c r="D130" s="288">
        <f t="shared" si="9"/>
        <v>0</v>
      </c>
      <c r="E130" s="287"/>
      <c r="F130" s="287"/>
      <c r="G130" s="287"/>
      <c r="H130" s="287"/>
      <c r="I130" s="302"/>
      <c r="J130" s="303">
        <f t="shared" si="12"/>
        <v>0</v>
      </c>
      <c r="K130" s="294" t="s">
        <v>3555</v>
      </c>
      <c r="L130" s="44">
        <v>1</v>
      </c>
      <c r="M130" s="308" t="s">
        <v>1648</v>
      </c>
      <c r="N130" s="308"/>
      <c r="O130" s="308" t="s">
        <v>518</v>
      </c>
      <c r="P130" s="309" t="s">
        <v>3633</v>
      </c>
    </row>
    <row r="131" s="107" customFormat="1" ht="20.1" customHeight="1" spans="1:16">
      <c r="A131" s="283" t="s">
        <v>519</v>
      </c>
      <c r="B131" s="284" t="s">
        <v>1650</v>
      </c>
      <c r="C131" s="285">
        <f t="shared" ref="C131:I131" si="18">SUM(C132:C137)</f>
        <v>165</v>
      </c>
      <c r="D131" s="285">
        <f t="shared" si="9"/>
        <v>221</v>
      </c>
      <c r="E131" s="285">
        <f t="shared" si="18"/>
        <v>160</v>
      </c>
      <c r="F131" s="285">
        <f t="shared" si="18"/>
        <v>0</v>
      </c>
      <c r="G131" s="285">
        <f t="shared" si="18"/>
        <v>30</v>
      </c>
      <c r="H131" s="285">
        <f t="shared" si="18"/>
        <v>0</v>
      </c>
      <c r="I131" s="285">
        <f t="shared" si="18"/>
        <v>31</v>
      </c>
      <c r="J131" s="299">
        <f t="shared" si="12"/>
        <v>133.94</v>
      </c>
      <c r="K131" s="300" t="s">
        <v>3551</v>
      </c>
      <c r="L131" s="301"/>
      <c r="M131" s="312" t="s">
        <v>519</v>
      </c>
      <c r="N131" s="312" t="s">
        <v>505</v>
      </c>
      <c r="O131" s="312" t="s">
        <v>519</v>
      </c>
      <c r="P131" s="313" t="s">
        <v>3634</v>
      </c>
    </row>
    <row r="132" s="106" customFormat="1" ht="20.1" customHeight="1" spans="1:16">
      <c r="A132" s="279" t="s">
        <v>1651</v>
      </c>
      <c r="B132" s="286" t="s">
        <v>1458</v>
      </c>
      <c r="C132" s="287"/>
      <c r="D132" s="288">
        <f t="shared" ref="D132:D195" si="19">SUM(E132:I132)</f>
        <v>0</v>
      </c>
      <c r="E132" s="287"/>
      <c r="F132" s="287"/>
      <c r="G132" s="287"/>
      <c r="H132" s="287"/>
      <c r="I132" s="302"/>
      <c r="J132" s="303">
        <f t="shared" si="12"/>
        <v>0</v>
      </c>
      <c r="K132" s="294" t="s">
        <v>3555</v>
      </c>
      <c r="L132" s="44">
        <v>1</v>
      </c>
      <c r="M132" s="308" t="s">
        <v>1651</v>
      </c>
      <c r="N132" s="308"/>
      <c r="O132" s="308" t="s">
        <v>519</v>
      </c>
      <c r="P132" s="314" t="s">
        <v>3556</v>
      </c>
    </row>
    <row r="133" s="106" customFormat="1" ht="20.1" customHeight="1" spans="1:16">
      <c r="A133" s="279" t="s">
        <v>1652</v>
      </c>
      <c r="B133" s="286" t="s">
        <v>1460</v>
      </c>
      <c r="C133" s="287">
        <v>30</v>
      </c>
      <c r="D133" s="288">
        <f t="shared" si="19"/>
        <v>0</v>
      </c>
      <c r="E133" s="287"/>
      <c r="F133" s="287"/>
      <c r="G133" s="287"/>
      <c r="H133" s="287"/>
      <c r="I133" s="302"/>
      <c r="J133" s="303">
        <f t="shared" si="12"/>
        <v>-100</v>
      </c>
      <c r="K133" s="294" t="s">
        <v>3555</v>
      </c>
      <c r="L133" s="44">
        <v>1</v>
      </c>
      <c r="M133" s="308" t="s">
        <v>1652</v>
      </c>
      <c r="N133" s="308"/>
      <c r="O133" s="308" t="s">
        <v>519</v>
      </c>
      <c r="P133" s="314" t="s">
        <v>3557</v>
      </c>
    </row>
    <row r="134" s="106" customFormat="1" ht="20.1" customHeight="1" spans="1:16">
      <c r="A134" s="279" t="s">
        <v>1653</v>
      </c>
      <c r="B134" s="289" t="s">
        <v>1462</v>
      </c>
      <c r="C134" s="287"/>
      <c r="D134" s="288">
        <f t="shared" si="19"/>
        <v>0</v>
      </c>
      <c r="E134" s="287"/>
      <c r="F134" s="287"/>
      <c r="G134" s="287"/>
      <c r="H134" s="287"/>
      <c r="I134" s="302"/>
      <c r="J134" s="303">
        <f t="shared" si="12"/>
        <v>0</v>
      </c>
      <c r="K134" s="294" t="s">
        <v>3555</v>
      </c>
      <c r="L134" s="44">
        <v>1</v>
      </c>
      <c r="M134" s="308" t="s">
        <v>1653</v>
      </c>
      <c r="N134" s="308"/>
      <c r="O134" s="308" t="s">
        <v>519</v>
      </c>
      <c r="P134" s="314" t="s">
        <v>3558</v>
      </c>
    </row>
    <row r="135" s="106" customFormat="1" ht="20.1" customHeight="1" spans="1:16">
      <c r="A135" s="279" t="s">
        <v>1654</v>
      </c>
      <c r="B135" s="289" t="s">
        <v>1655</v>
      </c>
      <c r="C135" s="287">
        <v>5</v>
      </c>
      <c r="D135" s="288">
        <f t="shared" si="19"/>
        <v>20</v>
      </c>
      <c r="E135" s="287"/>
      <c r="F135" s="287"/>
      <c r="G135" s="287"/>
      <c r="H135" s="287"/>
      <c r="I135" s="302">
        <v>20</v>
      </c>
      <c r="J135" s="303">
        <f t="shared" si="12"/>
        <v>400</v>
      </c>
      <c r="K135" s="294" t="s">
        <v>3555</v>
      </c>
      <c r="L135" s="44">
        <v>1</v>
      </c>
      <c r="M135" s="308" t="s">
        <v>1654</v>
      </c>
      <c r="N135" s="308"/>
      <c r="O135" s="308" t="s">
        <v>519</v>
      </c>
      <c r="P135" s="309" t="s">
        <v>3635</v>
      </c>
    </row>
    <row r="136" s="106" customFormat="1" ht="20.1" customHeight="1" spans="1:16">
      <c r="A136" s="279" t="s">
        <v>1656</v>
      </c>
      <c r="B136" s="289" t="s">
        <v>1476</v>
      </c>
      <c r="C136" s="287"/>
      <c r="D136" s="288">
        <f t="shared" si="19"/>
        <v>0</v>
      </c>
      <c r="E136" s="287"/>
      <c r="F136" s="287"/>
      <c r="G136" s="287"/>
      <c r="H136" s="287"/>
      <c r="I136" s="302"/>
      <c r="J136" s="303">
        <f t="shared" si="12"/>
        <v>0</v>
      </c>
      <c r="K136" s="294" t="s">
        <v>3555</v>
      </c>
      <c r="L136" s="44">
        <v>1</v>
      </c>
      <c r="M136" s="308" t="s">
        <v>1656</v>
      </c>
      <c r="N136" s="308"/>
      <c r="O136" s="308" t="s">
        <v>519</v>
      </c>
      <c r="P136" s="314" t="s">
        <v>3565</v>
      </c>
    </row>
    <row r="137" s="106" customFormat="1" ht="20.1" customHeight="1" spans="1:16">
      <c r="A137" s="279" t="s">
        <v>1657</v>
      </c>
      <c r="B137" s="41" t="s">
        <v>1658</v>
      </c>
      <c r="C137" s="287">
        <v>130</v>
      </c>
      <c r="D137" s="288">
        <f t="shared" si="19"/>
        <v>201</v>
      </c>
      <c r="E137" s="287">
        <v>160</v>
      </c>
      <c r="F137" s="287"/>
      <c r="G137" s="287">
        <v>30</v>
      </c>
      <c r="H137" s="287"/>
      <c r="I137" s="302">
        <v>11</v>
      </c>
      <c r="J137" s="303">
        <f t="shared" si="12"/>
        <v>154.62</v>
      </c>
      <c r="K137" s="294" t="s">
        <v>3555</v>
      </c>
      <c r="L137" s="44">
        <v>1</v>
      </c>
      <c r="M137" s="308" t="s">
        <v>1657</v>
      </c>
      <c r="N137" s="308"/>
      <c r="O137" s="308" t="s">
        <v>519</v>
      </c>
      <c r="P137" s="309" t="s">
        <v>3636</v>
      </c>
    </row>
    <row r="138" s="107" customFormat="1" ht="20.1" customHeight="1" spans="1:16">
      <c r="A138" s="283" t="s">
        <v>520</v>
      </c>
      <c r="B138" s="284" t="s">
        <v>1659</v>
      </c>
      <c r="C138" s="285">
        <v>0</v>
      </c>
      <c r="D138" s="285">
        <f t="shared" si="19"/>
        <v>0</v>
      </c>
      <c r="E138" s="285">
        <f t="shared" ref="E138:I138" si="20">SUM(E139:E145)</f>
        <v>0</v>
      </c>
      <c r="F138" s="285">
        <f t="shared" si="20"/>
        <v>0</v>
      </c>
      <c r="G138" s="285">
        <f t="shared" si="20"/>
        <v>0</v>
      </c>
      <c r="H138" s="285">
        <f t="shared" si="20"/>
        <v>0</v>
      </c>
      <c r="I138" s="285">
        <f t="shared" si="20"/>
        <v>0</v>
      </c>
      <c r="J138" s="299">
        <f t="shared" si="12"/>
        <v>0</v>
      </c>
      <c r="K138" s="300" t="s">
        <v>3551</v>
      </c>
      <c r="L138" s="301"/>
      <c r="M138" s="312" t="s">
        <v>520</v>
      </c>
      <c r="N138" s="312" t="s">
        <v>505</v>
      </c>
      <c r="O138" s="312" t="s">
        <v>520</v>
      </c>
      <c r="P138" s="313" t="s">
        <v>3637</v>
      </c>
    </row>
    <row r="139" s="106" customFormat="1" ht="20.1" customHeight="1" spans="1:16">
      <c r="A139" s="279" t="s">
        <v>1660</v>
      </c>
      <c r="B139" s="286" t="s">
        <v>1458</v>
      </c>
      <c r="C139" s="287">
        <v>0</v>
      </c>
      <c r="D139" s="288">
        <f t="shared" si="19"/>
        <v>0</v>
      </c>
      <c r="E139" s="287"/>
      <c r="F139" s="287"/>
      <c r="G139" s="287"/>
      <c r="H139" s="287"/>
      <c r="I139" s="302"/>
      <c r="J139" s="303">
        <f t="shared" ref="J139:J183" si="21">ROUND(IF(C139=0,IF(D139=0,0,1),IF(D139=0,-1,D139/C139)),4)*100</f>
        <v>0</v>
      </c>
      <c r="K139" s="294" t="s">
        <v>3555</v>
      </c>
      <c r="L139" s="44">
        <v>1</v>
      </c>
      <c r="M139" s="308" t="s">
        <v>1660</v>
      </c>
      <c r="N139" s="308"/>
      <c r="O139" s="308" t="s">
        <v>520</v>
      </c>
      <c r="P139" s="314" t="s">
        <v>3556</v>
      </c>
    </row>
    <row r="140" s="106" customFormat="1" ht="20.1" customHeight="1" spans="1:16">
      <c r="A140" s="279" t="s">
        <v>1661</v>
      </c>
      <c r="B140" s="289" t="s">
        <v>1460</v>
      </c>
      <c r="C140" s="287">
        <v>0</v>
      </c>
      <c r="D140" s="288">
        <f t="shared" si="19"/>
        <v>0</v>
      </c>
      <c r="E140" s="287"/>
      <c r="F140" s="287"/>
      <c r="G140" s="287"/>
      <c r="H140" s="287"/>
      <c r="I140" s="302"/>
      <c r="J140" s="303">
        <f t="shared" si="21"/>
        <v>0</v>
      </c>
      <c r="K140" s="294" t="s">
        <v>3555</v>
      </c>
      <c r="L140" s="44">
        <v>1</v>
      </c>
      <c r="M140" s="308" t="s">
        <v>1661</v>
      </c>
      <c r="N140" s="308"/>
      <c r="O140" s="308" t="s">
        <v>520</v>
      </c>
      <c r="P140" s="314" t="s">
        <v>3557</v>
      </c>
    </row>
    <row r="141" s="106" customFormat="1" ht="20.1" customHeight="1" spans="1:16">
      <c r="A141" s="279" t="s">
        <v>1662</v>
      </c>
      <c r="B141" s="289" t="s">
        <v>1462</v>
      </c>
      <c r="C141" s="287">
        <v>0</v>
      </c>
      <c r="D141" s="288">
        <f t="shared" si="19"/>
        <v>0</v>
      </c>
      <c r="E141" s="287"/>
      <c r="F141" s="287"/>
      <c r="G141" s="287"/>
      <c r="H141" s="287"/>
      <c r="I141" s="302"/>
      <c r="J141" s="303">
        <f t="shared" si="21"/>
        <v>0</v>
      </c>
      <c r="K141" s="294" t="s">
        <v>3555</v>
      </c>
      <c r="L141" s="44">
        <v>1</v>
      </c>
      <c r="M141" s="308" t="s">
        <v>1662</v>
      </c>
      <c r="N141" s="308"/>
      <c r="O141" s="308" t="s">
        <v>520</v>
      </c>
      <c r="P141" s="314" t="s">
        <v>3558</v>
      </c>
    </row>
    <row r="142" s="106" customFormat="1" ht="20.1" customHeight="1" spans="1:16">
      <c r="A142" s="279" t="s">
        <v>1663</v>
      </c>
      <c r="B142" s="289" t="s">
        <v>1664</v>
      </c>
      <c r="C142" s="287">
        <v>0</v>
      </c>
      <c r="D142" s="288">
        <f t="shared" si="19"/>
        <v>0</v>
      </c>
      <c r="E142" s="287"/>
      <c r="F142" s="287"/>
      <c r="G142" s="287"/>
      <c r="H142" s="287"/>
      <c r="I142" s="302"/>
      <c r="J142" s="303">
        <f t="shared" si="21"/>
        <v>0</v>
      </c>
      <c r="K142" s="294" t="s">
        <v>3555</v>
      </c>
      <c r="L142" s="44">
        <v>1</v>
      </c>
      <c r="M142" s="308" t="s">
        <v>1663</v>
      </c>
      <c r="N142" s="308"/>
      <c r="O142" s="308" t="s">
        <v>520</v>
      </c>
      <c r="P142" s="309" t="s">
        <v>3638</v>
      </c>
    </row>
    <row r="143" s="106" customFormat="1" ht="20.1" customHeight="1" spans="1:16">
      <c r="A143" s="279" t="s">
        <v>1665</v>
      </c>
      <c r="B143" s="41" t="s">
        <v>1666</v>
      </c>
      <c r="C143" s="287">
        <v>0</v>
      </c>
      <c r="D143" s="288">
        <f t="shared" si="19"/>
        <v>0</v>
      </c>
      <c r="E143" s="287"/>
      <c r="F143" s="287"/>
      <c r="G143" s="287"/>
      <c r="H143" s="287"/>
      <c r="I143" s="302"/>
      <c r="J143" s="303">
        <f t="shared" si="21"/>
        <v>0</v>
      </c>
      <c r="K143" s="294" t="s">
        <v>3555</v>
      </c>
      <c r="L143" s="44">
        <v>1</v>
      </c>
      <c r="M143" s="308" t="s">
        <v>1665</v>
      </c>
      <c r="N143" s="308"/>
      <c r="O143" s="308" t="s">
        <v>520</v>
      </c>
      <c r="P143" s="309" t="s">
        <v>3639</v>
      </c>
    </row>
    <row r="144" s="106" customFormat="1" ht="20.1" customHeight="1" spans="1:16">
      <c r="A144" s="279" t="s">
        <v>1667</v>
      </c>
      <c r="B144" s="286" t="s">
        <v>1476</v>
      </c>
      <c r="C144" s="287">
        <v>0</v>
      </c>
      <c r="D144" s="288">
        <f t="shared" si="19"/>
        <v>0</v>
      </c>
      <c r="E144" s="287"/>
      <c r="F144" s="287"/>
      <c r="G144" s="287"/>
      <c r="H144" s="287"/>
      <c r="I144" s="302"/>
      <c r="J144" s="303">
        <f t="shared" si="21"/>
        <v>0</v>
      </c>
      <c r="K144" s="294" t="s">
        <v>3555</v>
      </c>
      <c r="L144" s="44">
        <v>1</v>
      </c>
      <c r="M144" s="308" t="s">
        <v>1667</v>
      </c>
      <c r="N144" s="308"/>
      <c r="O144" s="308" t="s">
        <v>520</v>
      </c>
      <c r="P144" s="314" t="s">
        <v>3565</v>
      </c>
    </row>
    <row r="145" s="106" customFormat="1" ht="20.1" customHeight="1" spans="1:16">
      <c r="A145" s="279" t="s">
        <v>1668</v>
      </c>
      <c r="B145" s="286" t="s">
        <v>1669</v>
      </c>
      <c r="C145" s="287">
        <v>0</v>
      </c>
      <c r="D145" s="288">
        <f t="shared" si="19"/>
        <v>0</v>
      </c>
      <c r="E145" s="287"/>
      <c r="F145" s="287"/>
      <c r="G145" s="287"/>
      <c r="H145" s="287"/>
      <c r="I145" s="302"/>
      <c r="J145" s="303">
        <f t="shared" si="21"/>
        <v>0</v>
      </c>
      <c r="K145" s="294" t="s">
        <v>3555</v>
      </c>
      <c r="L145" s="44">
        <v>1</v>
      </c>
      <c r="M145" s="308" t="s">
        <v>1668</v>
      </c>
      <c r="N145" s="308"/>
      <c r="O145" s="308" t="s">
        <v>520</v>
      </c>
      <c r="P145" s="314" t="s">
        <v>3640</v>
      </c>
    </row>
    <row r="146" s="107" customFormat="1" ht="20.1" customHeight="1" spans="1:16">
      <c r="A146" s="283" t="s">
        <v>521</v>
      </c>
      <c r="B146" s="284" t="s">
        <v>1670</v>
      </c>
      <c r="C146" s="285">
        <f t="shared" ref="C146:I146" si="22">SUM(C147:C151)</f>
        <v>105</v>
      </c>
      <c r="D146" s="285">
        <f t="shared" si="19"/>
        <v>98</v>
      </c>
      <c r="E146" s="285">
        <f t="shared" si="22"/>
        <v>0</v>
      </c>
      <c r="F146" s="285">
        <f t="shared" si="22"/>
        <v>0</v>
      </c>
      <c r="G146" s="285">
        <f t="shared" si="22"/>
        <v>0</v>
      </c>
      <c r="H146" s="285">
        <f t="shared" si="22"/>
        <v>0</v>
      </c>
      <c r="I146" s="285">
        <f t="shared" si="22"/>
        <v>98</v>
      </c>
      <c r="J146" s="299">
        <f t="shared" si="21"/>
        <v>93.33</v>
      </c>
      <c r="K146" s="300" t="s">
        <v>3551</v>
      </c>
      <c r="L146" s="301"/>
      <c r="M146" s="312" t="s">
        <v>521</v>
      </c>
      <c r="N146" s="312" t="s">
        <v>505</v>
      </c>
      <c r="O146" s="312" t="s">
        <v>521</v>
      </c>
      <c r="P146" s="313" t="s">
        <v>3641</v>
      </c>
    </row>
    <row r="147" s="106" customFormat="1" ht="20.25" customHeight="1" spans="1:16">
      <c r="A147" s="279" t="s">
        <v>1671</v>
      </c>
      <c r="B147" s="289" t="s">
        <v>1458</v>
      </c>
      <c r="C147" s="287"/>
      <c r="D147" s="288">
        <f t="shared" si="19"/>
        <v>0</v>
      </c>
      <c r="E147" s="287"/>
      <c r="F147" s="287"/>
      <c r="G147" s="287"/>
      <c r="H147" s="287"/>
      <c r="I147" s="302"/>
      <c r="J147" s="303">
        <f t="shared" si="21"/>
        <v>0</v>
      </c>
      <c r="K147" s="294" t="s">
        <v>3555</v>
      </c>
      <c r="L147" s="44">
        <v>1</v>
      </c>
      <c r="M147" s="308" t="s">
        <v>1671</v>
      </c>
      <c r="N147" s="308"/>
      <c r="O147" s="308" t="s">
        <v>521</v>
      </c>
      <c r="P147" s="314" t="s">
        <v>3556</v>
      </c>
    </row>
    <row r="148" s="106" customFormat="1" ht="20.1" customHeight="1" spans="1:16">
      <c r="A148" s="279" t="s">
        <v>1672</v>
      </c>
      <c r="B148" s="289" t="s">
        <v>1460</v>
      </c>
      <c r="C148" s="287">
        <v>94</v>
      </c>
      <c r="D148" s="288">
        <f t="shared" si="19"/>
        <v>87</v>
      </c>
      <c r="E148" s="287"/>
      <c r="F148" s="287"/>
      <c r="G148" s="287"/>
      <c r="H148" s="287"/>
      <c r="I148" s="302">
        <v>87</v>
      </c>
      <c r="J148" s="303">
        <f t="shared" si="21"/>
        <v>92.55</v>
      </c>
      <c r="K148" s="294" t="s">
        <v>3555</v>
      </c>
      <c r="L148" s="44">
        <v>1</v>
      </c>
      <c r="M148" s="308" t="s">
        <v>1672</v>
      </c>
      <c r="N148" s="308"/>
      <c r="O148" s="308" t="s">
        <v>521</v>
      </c>
      <c r="P148" s="314" t="s">
        <v>3557</v>
      </c>
    </row>
    <row r="149" s="106" customFormat="1" ht="20.1" customHeight="1" spans="1:16">
      <c r="A149" s="279" t="s">
        <v>1673</v>
      </c>
      <c r="B149" s="286" t="s">
        <v>1462</v>
      </c>
      <c r="C149" s="287"/>
      <c r="D149" s="288">
        <f t="shared" si="19"/>
        <v>0</v>
      </c>
      <c r="E149" s="287"/>
      <c r="F149" s="287"/>
      <c r="G149" s="287"/>
      <c r="H149" s="287"/>
      <c r="I149" s="302"/>
      <c r="J149" s="303">
        <f t="shared" si="21"/>
        <v>0</v>
      </c>
      <c r="K149" s="294" t="s">
        <v>3555</v>
      </c>
      <c r="L149" s="44">
        <v>1</v>
      </c>
      <c r="M149" s="308" t="s">
        <v>1673</v>
      </c>
      <c r="N149" s="308"/>
      <c r="O149" s="308" t="s">
        <v>521</v>
      </c>
      <c r="P149" s="314" t="s">
        <v>3558</v>
      </c>
    </row>
    <row r="150" s="106" customFormat="1" ht="20.1" customHeight="1" spans="1:16">
      <c r="A150" s="279" t="s">
        <v>1674</v>
      </c>
      <c r="B150" s="286" t="s">
        <v>1675</v>
      </c>
      <c r="C150" s="287">
        <v>11</v>
      </c>
      <c r="D150" s="288">
        <f t="shared" si="19"/>
        <v>11</v>
      </c>
      <c r="E150" s="287"/>
      <c r="F150" s="287"/>
      <c r="G150" s="287"/>
      <c r="H150" s="287"/>
      <c r="I150" s="302">
        <v>11</v>
      </c>
      <c r="J150" s="303">
        <f t="shared" si="21"/>
        <v>100</v>
      </c>
      <c r="K150" s="294" t="s">
        <v>3555</v>
      </c>
      <c r="L150" s="44">
        <v>1</v>
      </c>
      <c r="M150" s="308" t="s">
        <v>1674</v>
      </c>
      <c r="N150" s="308"/>
      <c r="O150" s="308" t="s">
        <v>521</v>
      </c>
      <c r="P150" s="309" t="s">
        <v>3642</v>
      </c>
    </row>
    <row r="151" s="106" customFormat="1" ht="20.1" customHeight="1" spans="1:16">
      <c r="A151" s="279" t="s">
        <v>1676</v>
      </c>
      <c r="B151" s="286" t="s">
        <v>1677</v>
      </c>
      <c r="C151" s="287"/>
      <c r="D151" s="288">
        <f t="shared" si="19"/>
        <v>0</v>
      </c>
      <c r="E151" s="287"/>
      <c r="F151" s="287"/>
      <c r="G151" s="287"/>
      <c r="H151" s="287"/>
      <c r="I151" s="302"/>
      <c r="J151" s="303">
        <f t="shared" si="21"/>
        <v>0</v>
      </c>
      <c r="K151" s="294" t="s">
        <v>3555</v>
      </c>
      <c r="L151" s="44">
        <v>1</v>
      </c>
      <c r="M151" s="308" t="s">
        <v>1676</v>
      </c>
      <c r="N151" s="308"/>
      <c r="O151" s="308" t="s">
        <v>521</v>
      </c>
      <c r="P151" s="309" t="s">
        <v>3643</v>
      </c>
    </row>
    <row r="152" s="107" customFormat="1" ht="20.1" customHeight="1" spans="1:16">
      <c r="A152" s="283" t="s">
        <v>522</v>
      </c>
      <c r="B152" s="284" t="s">
        <v>1678</v>
      </c>
      <c r="C152" s="285">
        <f t="shared" ref="C152:I152" si="23">SUM(C153:C158)</f>
        <v>44</v>
      </c>
      <c r="D152" s="285">
        <f t="shared" si="19"/>
        <v>44</v>
      </c>
      <c r="E152" s="285">
        <f t="shared" si="23"/>
        <v>0</v>
      </c>
      <c r="F152" s="285">
        <f t="shared" si="23"/>
        <v>0</v>
      </c>
      <c r="G152" s="285">
        <f t="shared" si="23"/>
        <v>0</v>
      </c>
      <c r="H152" s="285">
        <f t="shared" si="23"/>
        <v>0</v>
      </c>
      <c r="I152" s="285">
        <f t="shared" si="23"/>
        <v>44</v>
      </c>
      <c r="J152" s="299">
        <f t="shared" si="21"/>
        <v>100</v>
      </c>
      <c r="K152" s="300" t="s">
        <v>3551</v>
      </c>
      <c r="L152" s="301"/>
      <c r="M152" s="312" t="s">
        <v>522</v>
      </c>
      <c r="N152" s="312" t="s">
        <v>505</v>
      </c>
      <c r="O152" s="312" t="s">
        <v>522</v>
      </c>
      <c r="P152" s="313" t="s">
        <v>3644</v>
      </c>
    </row>
    <row r="153" s="106" customFormat="1" ht="20.1" customHeight="1" spans="1:16">
      <c r="A153" s="279" t="s">
        <v>1679</v>
      </c>
      <c r="B153" s="289" t="s">
        <v>1458</v>
      </c>
      <c r="C153" s="287">
        <v>44</v>
      </c>
      <c r="D153" s="288">
        <f t="shared" si="19"/>
        <v>43</v>
      </c>
      <c r="E153" s="287"/>
      <c r="F153" s="287"/>
      <c r="G153" s="287"/>
      <c r="H153" s="287"/>
      <c r="I153" s="302">
        <v>43</v>
      </c>
      <c r="J153" s="303">
        <f t="shared" si="21"/>
        <v>97.73</v>
      </c>
      <c r="K153" s="294" t="s">
        <v>3555</v>
      </c>
      <c r="L153" s="44">
        <v>1</v>
      </c>
      <c r="M153" s="308" t="s">
        <v>1679</v>
      </c>
      <c r="N153" s="308"/>
      <c r="O153" s="308" t="s">
        <v>522</v>
      </c>
      <c r="P153" s="314" t="s">
        <v>3556</v>
      </c>
    </row>
    <row r="154" s="106" customFormat="1" ht="20.1" customHeight="1" spans="1:16">
      <c r="A154" s="279" t="s">
        <v>1680</v>
      </c>
      <c r="B154" s="289" t="s">
        <v>1460</v>
      </c>
      <c r="C154" s="287"/>
      <c r="D154" s="288">
        <f t="shared" si="19"/>
        <v>0</v>
      </c>
      <c r="E154" s="287"/>
      <c r="F154" s="287"/>
      <c r="G154" s="287"/>
      <c r="H154" s="287"/>
      <c r="I154" s="302"/>
      <c r="J154" s="303">
        <f t="shared" si="21"/>
        <v>0</v>
      </c>
      <c r="K154" s="294" t="s">
        <v>3555</v>
      </c>
      <c r="L154" s="44">
        <v>1</v>
      </c>
      <c r="M154" s="308" t="s">
        <v>1680</v>
      </c>
      <c r="N154" s="308"/>
      <c r="O154" s="308" t="s">
        <v>522</v>
      </c>
      <c r="P154" s="314" t="s">
        <v>3557</v>
      </c>
    </row>
    <row r="155" s="106" customFormat="1" ht="20.1" customHeight="1" spans="1:16">
      <c r="A155" s="279" t="s">
        <v>1681</v>
      </c>
      <c r="B155" s="41" t="s">
        <v>1462</v>
      </c>
      <c r="C155" s="287"/>
      <c r="D155" s="288">
        <f t="shared" si="19"/>
        <v>1</v>
      </c>
      <c r="E155" s="287"/>
      <c r="F155" s="287"/>
      <c r="G155" s="287"/>
      <c r="H155" s="287"/>
      <c r="I155" s="302">
        <v>1</v>
      </c>
      <c r="J155" s="303">
        <f t="shared" si="21"/>
        <v>100</v>
      </c>
      <c r="K155" s="294" t="s">
        <v>3555</v>
      </c>
      <c r="L155" s="44">
        <v>1</v>
      </c>
      <c r="M155" s="308" t="s">
        <v>1681</v>
      </c>
      <c r="N155" s="308"/>
      <c r="O155" s="308" t="s">
        <v>522</v>
      </c>
      <c r="P155" s="314" t="s">
        <v>3558</v>
      </c>
    </row>
    <row r="156" s="106" customFormat="1" ht="20.1" customHeight="1" spans="1:16">
      <c r="A156" s="279" t="s">
        <v>1682</v>
      </c>
      <c r="B156" s="286" t="s">
        <v>1489</v>
      </c>
      <c r="C156" s="287"/>
      <c r="D156" s="288">
        <f t="shared" si="19"/>
        <v>0</v>
      </c>
      <c r="E156" s="287"/>
      <c r="F156" s="287"/>
      <c r="G156" s="287"/>
      <c r="H156" s="287"/>
      <c r="I156" s="302"/>
      <c r="J156" s="303">
        <f t="shared" si="21"/>
        <v>0</v>
      </c>
      <c r="K156" s="294" t="s">
        <v>3555</v>
      </c>
      <c r="L156" s="44">
        <v>1</v>
      </c>
      <c r="M156" s="308" t="s">
        <v>1682</v>
      </c>
      <c r="N156" s="308"/>
      <c r="O156" s="308" t="s">
        <v>522</v>
      </c>
      <c r="P156" s="314" t="s">
        <v>3570</v>
      </c>
    </row>
    <row r="157" s="107" customFormat="1" ht="20.1" customHeight="1" spans="1:16">
      <c r="A157" s="279" t="s">
        <v>1683</v>
      </c>
      <c r="B157" s="286" t="s">
        <v>1476</v>
      </c>
      <c r="C157" s="287"/>
      <c r="D157" s="288">
        <f t="shared" si="19"/>
        <v>0</v>
      </c>
      <c r="E157" s="287"/>
      <c r="F157" s="287"/>
      <c r="G157" s="287"/>
      <c r="H157" s="287"/>
      <c r="I157" s="317"/>
      <c r="J157" s="303">
        <f t="shared" si="21"/>
        <v>0</v>
      </c>
      <c r="K157" s="294" t="s">
        <v>3555</v>
      </c>
      <c r="L157" s="44">
        <v>1</v>
      </c>
      <c r="M157" s="308" t="s">
        <v>1683</v>
      </c>
      <c r="N157" s="308"/>
      <c r="O157" s="308" t="s">
        <v>522</v>
      </c>
      <c r="P157" s="314" t="s">
        <v>3565</v>
      </c>
    </row>
    <row r="158" s="106" customFormat="1" ht="20.1" customHeight="1" spans="1:16">
      <c r="A158" s="279" t="s">
        <v>1684</v>
      </c>
      <c r="B158" s="286" t="s">
        <v>1685</v>
      </c>
      <c r="C158" s="287"/>
      <c r="D158" s="288">
        <f t="shared" si="19"/>
        <v>0</v>
      </c>
      <c r="E158" s="287"/>
      <c r="F158" s="287"/>
      <c r="G158" s="287"/>
      <c r="H158" s="287"/>
      <c r="I158" s="302"/>
      <c r="J158" s="303">
        <f t="shared" si="21"/>
        <v>0</v>
      </c>
      <c r="K158" s="294" t="s">
        <v>3555</v>
      </c>
      <c r="L158" s="44">
        <v>1</v>
      </c>
      <c r="M158" s="308" t="s">
        <v>1684</v>
      </c>
      <c r="N158" s="308"/>
      <c r="O158" s="308" t="s">
        <v>522</v>
      </c>
      <c r="P158" s="309" t="s">
        <v>3645</v>
      </c>
    </row>
    <row r="159" s="107" customFormat="1" ht="20.1" customHeight="1" spans="1:16">
      <c r="A159" s="283" t="s">
        <v>523</v>
      </c>
      <c r="B159" s="284" t="s">
        <v>1686</v>
      </c>
      <c r="C159" s="285">
        <f t="shared" ref="C159:I159" si="24">SUM(C160:C165)</f>
        <v>600</v>
      </c>
      <c r="D159" s="285">
        <f t="shared" si="19"/>
        <v>486</v>
      </c>
      <c r="E159" s="285">
        <f t="shared" si="24"/>
        <v>117</v>
      </c>
      <c r="F159" s="285">
        <f t="shared" si="24"/>
        <v>22</v>
      </c>
      <c r="G159" s="285">
        <f t="shared" si="24"/>
        <v>8</v>
      </c>
      <c r="H159" s="285">
        <f t="shared" si="24"/>
        <v>0</v>
      </c>
      <c r="I159" s="285">
        <f t="shared" si="24"/>
        <v>339</v>
      </c>
      <c r="J159" s="299">
        <f t="shared" si="21"/>
        <v>81</v>
      </c>
      <c r="K159" s="300" t="s">
        <v>3551</v>
      </c>
      <c r="L159" s="301"/>
      <c r="M159" s="312" t="s">
        <v>523</v>
      </c>
      <c r="N159" s="312" t="s">
        <v>505</v>
      </c>
      <c r="O159" s="312" t="s">
        <v>523</v>
      </c>
      <c r="P159" s="313" t="s">
        <v>3646</v>
      </c>
    </row>
    <row r="160" s="106" customFormat="1" ht="20.1" customHeight="1" spans="1:16">
      <c r="A160" s="279" t="s">
        <v>1687</v>
      </c>
      <c r="B160" s="289" t="s">
        <v>1458</v>
      </c>
      <c r="C160" s="287">
        <v>192</v>
      </c>
      <c r="D160" s="288">
        <f t="shared" si="19"/>
        <v>189</v>
      </c>
      <c r="E160" s="287"/>
      <c r="F160" s="287"/>
      <c r="G160" s="287"/>
      <c r="H160" s="287"/>
      <c r="I160" s="302">
        <v>189</v>
      </c>
      <c r="J160" s="303">
        <f t="shared" si="21"/>
        <v>98.44</v>
      </c>
      <c r="K160" s="294" t="s">
        <v>3555</v>
      </c>
      <c r="L160" s="44">
        <v>1</v>
      </c>
      <c r="M160" s="308" t="s">
        <v>1687</v>
      </c>
      <c r="N160" s="308"/>
      <c r="O160" s="308" t="s">
        <v>523</v>
      </c>
      <c r="P160" s="314" t="s">
        <v>3556</v>
      </c>
    </row>
    <row r="161" s="106" customFormat="1" ht="20.1" customHeight="1" spans="1:16">
      <c r="A161" s="279" t="s">
        <v>1688</v>
      </c>
      <c r="B161" s="289" t="s">
        <v>1460</v>
      </c>
      <c r="C161" s="287">
        <v>285</v>
      </c>
      <c r="D161" s="288">
        <f t="shared" si="19"/>
        <v>222</v>
      </c>
      <c r="E161" s="287">
        <v>117</v>
      </c>
      <c r="F161" s="287">
        <v>3</v>
      </c>
      <c r="G161" s="287">
        <v>6</v>
      </c>
      <c r="H161" s="287"/>
      <c r="I161" s="302">
        <v>96</v>
      </c>
      <c r="J161" s="303">
        <f t="shared" si="21"/>
        <v>77.89</v>
      </c>
      <c r="K161" s="294" t="s">
        <v>3555</v>
      </c>
      <c r="L161" s="44">
        <v>1</v>
      </c>
      <c r="M161" s="308" t="s">
        <v>1688</v>
      </c>
      <c r="N161" s="308"/>
      <c r="O161" s="308" t="s">
        <v>523</v>
      </c>
      <c r="P161" s="314" t="s">
        <v>3557</v>
      </c>
    </row>
    <row r="162" s="106" customFormat="1" ht="20.1" customHeight="1" spans="1:16">
      <c r="A162" s="279" t="s">
        <v>1689</v>
      </c>
      <c r="B162" s="286" t="s">
        <v>1462</v>
      </c>
      <c r="C162" s="287"/>
      <c r="D162" s="288">
        <f t="shared" si="19"/>
        <v>0</v>
      </c>
      <c r="E162" s="287"/>
      <c r="F162" s="287"/>
      <c r="G162" s="287"/>
      <c r="H162" s="287"/>
      <c r="I162" s="302"/>
      <c r="J162" s="303">
        <f t="shared" si="21"/>
        <v>0</v>
      </c>
      <c r="K162" s="294" t="s">
        <v>3555</v>
      </c>
      <c r="L162" s="44">
        <v>1</v>
      </c>
      <c r="M162" s="308" t="s">
        <v>1689</v>
      </c>
      <c r="N162" s="308"/>
      <c r="O162" s="308" t="s">
        <v>523</v>
      </c>
      <c r="P162" s="314" t="s">
        <v>3558</v>
      </c>
    </row>
    <row r="163" s="106" customFormat="1" ht="20.1" customHeight="1" spans="1:16">
      <c r="A163" s="279" t="s">
        <v>1690</v>
      </c>
      <c r="B163" s="286" t="s">
        <v>1691</v>
      </c>
      <c r="C163" s="287">
        <v>25</v>
      </c>
      <c r="D163" s="288">
        <f t="shared" si="19"/>
        <v>21</v>
      </c>
      <c r="E163" s="287"/>
      <c r="F163" s="287">
        <v>19</v>
      </c>
      <c r="G163" s="287">
        <v>2</v>
      </c>
      <c r="H163" s="287"/>
      <c r="I163" s="302"/>
      <c r="J163" s="303">
        <f t="shared" si="21"/>
        <v>84</v>
      </c>
      <c r="K163" s="294" t="s">
        <v>3555</v>
      </c>
      <c r="L163" s="44">
        <v>1</v>
      </c>
      <c r="M163" s="308" t="s">
        <v>1690</v>
      </c>
      <c r="N163" s="308"/>
      <c r="O163" s="308" t="s">
        <v>523</v>
      </c>
      <c r="P163" s="314" t="s">
        <v>3647</v>
      </c>
    </row>
    <row r="164" s="106" customFormat="1" ht="20.25" customHeight="1" spans="1:16">
      <c r="A164" s="279" t="s">
        <v>1692</v>
      </c>
      <c r="B164" s="289" t="s">
        <v>1476</v>
      </c>
      <c r="C164" s="287"/>
      <c r="D164" s="288">
        <f t="shared" si="19"/>
        <v>0</v>
      </c>
      <c r="E164" s="287"/>
      <c r="F164" s="287"/>
      <c r="G164" s="287"/>
      <c r="H164" s="287"/>
      <c r="I164" s="302"/>
      <c r="J164" s="303">
        <f t="shared" si="21"/>
        <v>0</v>
      </c>
      <c r="K164" s="294" t="s">
        <v>3555</v>
      </c>
      <c r="L164" s="44">
        <v>1</v>
      </c>
      <c r="M164" s="308" t="s">
        <v>1692</v>
      </c>
      <c r="N164" s="308"/>
      <c r="O164" s="308" t="s">
        <v>523</v>
      </c>
      <c r="P164" s="314" t="s">
        <v>3565</v>
      </c>
    </row>
    <row r="165" s="106" customFormat="1" ht="20.1" customHeight="1" spans="1:16">
      <c r="A165" s="279" t="s">
        <v>1693</v>
      </c>
      <c r="B165" s="289" t="s">
        <v>1694</v>
      </c>
      <c r="C165" s="287">
        <v>98</v>
      </c>
      <c r="D165" s="288">
        <f t="shared" si="19"/>
        <v>54</v>
      </c>
      <c r="E165" s="287"/>
      <c r="F165" s="287"/>
      <c r="G165" s="287"/>
      <c r="H165" s="287"/>
      <c r="I165" s="302">
        <v>54</v>
      </c>
      <c r="J165" s="303">
        <f t="shared" si="21"/>
        <v>55.1</v>
      </c>
      <c r="K165" s="294" t="s">
        <v>3555</v>
      </c>
      <c r="L165" s="44">
        <v>1</v>
      </c>
      <c r="M165" s="308" t="s">
        <v>1693</v>
      </c>
      <c r="N165" s="308"/>
      <c r="O165" s="308" t="s">
        <v>523</v>
      </c>
      <c r="P165" s="309" t="s">
        <v>3648</v>
      </c>
    </row>
    <row r="166" s="107" customFormat="1" ht="20.1" customHeight="1" spans="1:16">
      <c r="A166" s="283" t="s">
        <v>524</v>
      </c>
      <c r="B166" s="284" t="s">
        <v>1695</v>
      </c>
      <c r="C166" s="285">
        <f t="shared" ref="C166:I166" si="25">SUM(C167:C172)</f>
        <v>635</v>
      </c>
      <c r="D166" s="285">
        <f t="shared" si="19"/>
        <v>576</v>
      </c>
      <c r="E166" s="285">
        <f t="shared" si="25"/>
        <v>0</v>
      </c>
      <c r="F166" s="285">
        <f t="shared" si="25"/>
        <v>0</v>
      </c>
      <c r="G166" s="285">
        <f t="shared" si="25"/>
        <v>0</v>
      </c>
      <c r="H166" s="285">
        <f t="shared" si="25"/>
        <v>0</v>
      </c>
      <c r="I166" s="285">
        <f t="shared" si="25"/>
        <v>576</v>
      </c>
      <c r="J166" s="299">
        <f t="shared" si="21"/>
        <v>90.71</v>
      </c>
      <c r="K166" s="300" t="s">
        <v>3551</v>
      </c>
      <c r="L166" s="301"/>
      <c r="M166" s="312" t="s">
        <v>524</v>
      </c>
      <c r="N166" s="312" t="s">
        <v>505</v>
      </c>
      <c r="O166" s="312" t="s">
        <v>524</v>
      </c>
      <c r="P166" s="313" t="s">
        <v>3649</v>
      </c>
    </row>
    <row r="167" s="106" customFormat="1" ht="20.1" customHeight="1" spans="1:16">
      <c r="A167" s="279" t="s">
        <v>1696</v>
      </c>
      <c r="B167" s="289" t="s">
        <v>1458</v>
      </c>
      <c r="C167" s="287">
        <v>507</v>
      </c>
      <c r="D167" s="288">
        <f t="shared" si="19"/>
        <v>556</v>
      </c>
      <c r="E167" s="287"/>
      <c r="F167" s="287"/>
      <c r="G167" s="287"/>
      <c r="H167" s="287"/>
      <c r="I167" s="302">
        <v>556</v>
      </c>
      <c r="J167" s="303">
        <f t="shared" si="21"/>
        <v>109.66</v>
      </c>
      <c r="K167" s="294" t="s">
        <v>3555</v>
      </c>
      <c r="L167" s="44">
        <v>1</v>
      </c>
      <c r="M167" s="308" t="s">
        <v>1696</v>
      </c>
      <c r="N167" s="308"/>
      <c r="O167" s="308" t="s">
        <v>524</v>
      </c>
      <c r="P167" s="314" t="s">
        <v>3556</v>
      </c>
    </row>
    <row r="168" s="106" customFormat="1" ht="20.1" customHeight="1" spans="1:16">
      <c r="A168" s="279" t="s">
        <v>1697</v>
      </c>
      <c r="B168" s="286" t="s">
        <v>1460</v>
      </c>
      <c r="C168" s="287"/>
      <c r="D168" s="288">
        <f t="shared" si="19"/>
        <v>0</v>
      </c>
      <c r="E168" s="287"/>
      <c r="F168" s="287"/>
      <c r="G168" s="287"/>
      <c r="H168" s="287"/>
      <c r="I168" s="302"/>
      <c r="J168" s="303">
        <f t="shared" si="21"/>
        <v>0</v>
      </c>
      <c r="K168" s="294" t="s">
        <v>3555</v>
      </c>
      <c r="L168" s="44">
        <v>1</v>
      </c>
      <c r="M168" s="308" t="s">
        <v>1697</v>
      </c>
      <c r="N168" s="308"/>
      <c r="O168" s="308" t="s">
        <v>524</v>
      </c>
      <c r="P168" s="314" t="s">
        <v>3557</v>
      </c>
    </row>
    <row r="169" s="106" customFormat="1" ht="20.1" customHeight="1" spans="1:16">
      <c r="A169" s="279" t="s">
        <v>1698</v>
      </c>
      <c r="B169" s="286" t="s">
        <v>1462</v>
      </c>
      <c r="C169" s="287"/>
      <c r="D169" s="288">
        <f t="shared" si="19"/>
        <v>0</v>
      </c>
      <c r="E169" s="287"/>
      <c r="F169" s="287"/>
      <c r="G169" s="287"/>
      <c r="H169" s="287"/>
      <c r="I169" s="302"/>
      <c r="J169" s="303">
        <f t="shared" si="21"/>
        <v>0</v>
      </c>
      <c r="K169" s="294" t="s">
        <v>3555</v>
      </c>
      <c r="L169" s="44">
        <v>1</v>
      </c>
      <c r="M169" s="308" t="s">
        <v>1698</v>
      </c>
      <c r="N169" s="308"/>
      <c r="O169" s="308" t="s">
        <v>524</v>
      </c>
      <c r="P169" s="314" t="s">
        <v>3558</v>
      </c>
    </row>
    <row r="170" s="106" customFormat="1" ht="20.1" customHeight="1" spans="1:16">
      <c r="A170" s="279" t="s">
        <v>1699</v>
      </c>
      <c r="B170" s="286" t="s">
        <v>1700</v>
      </c>
      <c r="C170" s="287"/>
      <c r="D170" s="288">
        <f t="shared" si="19"/>
        <v>0</v>
      </c>
      <c r="E170" s="287"/>
      <c r="F170" s="287"/>
      <c r="G170" s="287"/>
      <c r="H170" s="287"/>
      <c r="I170" s="302"/>
      <c r="J170" s="303">
        <f t="shared" si="21"/>
        <v>0</v>
      </c>
      <c r="K170" s="294" t="s">
        <v>3555</v>
      </c>
      <c r="L170" s="44">
        <v>1</v>
      </c>
      <c r="M170" s="308" t="s">
        <v>1699</v>
      </c>
      <c r="N170" s="308"/>
      <c r="O170" s="308" t="s">
        <v>524</v>
      </c>
      <c r="P170" s="314" t="s">
        <v>3650</v>
      </c>
    </row>
    <row r="171" s="106" customFormat="1" ht="20.1" customHeight="1" spans="1:16">
      <c r="A171" s="279" t="s">
        <v>1701</v>
      </c>
      <c r="B171" s="289" t="s">
        <v>1476</v>
      </c>
      <c r="C171" s="287"/>
      <c r="D171" s="288">
        <f t="shared" si="19"/>
        <v>0</v>
      </c>
      <c r="E171" s="287"/>
      <c r="F171" s="287"/>
      <c r="G171" s="287"/>
      <c r="H171" s="287"/>
      <c r="I171" s="302"/>
      <c r="J171" s="303">
        <f t="shared" si="21"/>
        <v>0</v>
      </c>
      <c r="K171" s="294" t="s">
        <v>3555</v>
      </c>
      <c r="L171" s="44">
        <v>1</v>
      </c>
      <c r="M171" s="308" t="s">
        <v>1701</v>
      </c>
      <c r="N171" s="308"/>
      <c r="O171" s="308" t="s">
        <v>524</v>
      </c>
      <c r="P171" s="314" t="s">
        <v>3565</v>
      </c>
    </row>
    <row r="172" s="106" customFormat="1" ht="20.1" customHeight="1" spans="1:16">
      <c r="A172" s="279" t="s">
        <v>1702</v>
      </c>
      <c r="B172" s="289" t="s">
        <v>1703</v>
      </c>
      <c r="C172" s="287">
        <v>128</v>
      </c>
      <c r="D172" s="288">
        <f t="shared" si="19"/>
        <v>20</v>
      </c>
      <c r="E172" s="287"/>
      <c r="F172" s="287"/>
      <c r="G172" s="287"/>
      <c r="H172" s="287"/>
      <c r="I172" s="302">
        <v>20</v>
      </c>
      <c r="J172" s="303">
        <f t="shared" si="21"/>
        <v>15.63</v>
      </c>
      <c r="K172" s="294" t="s">
        <v>3555</v>
      </c>
      <c r="L172" s="44">
        <v>1</v>
      </c>
      <c r="M172" s="308" t="s">
        <v>1702</v>
      </c>
      <c r="N172" s="308"/>
      <c r="O172" s="308" t="s">
        <v>524</v>
      </c>
      <c r="P172" s="309" t="s">
        <v>3651</v>
      </c>
    </row>
    <row r="173" s="107" customFormat="1" ht="18" customHeight="1" spans="1:16">
      <c r="A173" s="283" t="s">
        <v>525</v>
      </c>
      <c r="B173" s="284" t="s">
        <v>1704</v>
      </c>
      <c r="C173" s="285">
        <f t="shared" ref="C173:I173" si="26">SUM(C174:C179)</f>
        <v>1043</v>
      </c>
      <c r="D173" s="285">
        <f t="shared" si="19"/>
        <v>1548</v>
      </c>
      <c r="E173" s="285">
        <f t="shared" si="26"/>
        <v>0</v>
      </c>
      <c r="F173" s="285">
        <f t="shared" si="26"/>
        <v>47</v>
      </c>
      <c r="G173" s="285">
        <f t="shared" si="26"/>
        <v>506</v>
      </c>
      <c r="H173" s="285">
        <f t="shared" si="26"/>
        <v>0</v>
      </c>
      <c r="I173" s="285">
        <f t="shared" si="26"/>
        <v>995</v>
      </c>
      <c r="J173" s="299">
        <f t="shared" si="21"/>
        <v>148.42</v>
      </c>
      <c r="K173" s="300" t="s">
        <v>3551</v>
      </c>
      <c r="L173" s="301"/>
      <c r="M173" s="312" t="s">
        <v>525</v>
      </c>
      <c r="N173" s="312" t="s">
        <v>505</v>
      </c>
      <c r="O173" s="312" t="s">
        <v>525</v>
      </c>
      <c r="P173" s="313" t="s">
        <v>3652</v>
      </c>
    </row>
    <row r="174" s="106" customFormat="1" ht="20.1" customHeight="1" spans="1:16">
      <c r="A174" s="279" t="s">
        <v>1705</v>
      </c>
      <c r="B174" s="286" t="s">
        <v>1458</v>
      </c>
      <c r="C174" s="287">
        <v>422</v>
      </c>
      <c r="D174" s="288">
        <f t="shared" si="19"/>
        <v>462</v>
      </c>
      <c r="E174" s="287"/>
      <c r="F174" s="287"/>
      <c r="G174" s="287"/>
      <c r="H174" s="287"/>
      <c r="I174" s="302">
        <v>462</v>
      </c>
      <c r="J174" s="303">
        <f t="shared" si="21"/>
        <v>109.48</v>
      </c>
      <c r="K174" s="294" t="s">
        <v>3555</v>
      </c>
      <c r="L174" s="44">
        <v>1</v>
      </c>
      <c r="M174" s="308" t="s">
        <v>1705</v>
      </c>
      <c r="N174" s="308"/>
      <c r="O174" s="308" t="s">
        <v>525</v>
      </c>
      <c r="P174" s="314" t="s">
        <v>3556</v>
      </c>
    </row>
    <row r="175" s="106" customFormat="1" ht="20.1" customHeight="1" spans="1:16">
      <c r="A175" s="279" t="s">
        <v>1706</v>
      </c>
      <c r="B175" s="286" t="s">
        <v>1460</v>
      </c>
      <c r="C175" s="287">
        <v>213</v>
      </c>
      <c r="D175" s="288">
        <f t="shared" si="19"/>
        <v>173</v>
      </c>
      <c r="E175" s="287"/>
      <c r="F175" s="287">
        <v>47</v>
      </c>
      <c r="G175" s="287">
        <v>8</v>
      </c>
      <c r="H175" s="287"/>
      <c r="I175" s="302">
        <v>118</v>
      </c>
      <c r="J175" s="303">
        <f t="shared" si="21"/>
        <v>81.22</v>
      </c>
      <c r="K175" s="294" t="s">
        <v>3555</v>
      </c>
      <c r="L175" s="44">
        <v>1</v>
      </c>
      <c r="M175" s="308" t="s">
        <v>1706</v>
      </c>
      <c r="N175" s="308"/>
      <c r="O175" s="308" t="s">
        <v>525</v>
      </c>
      <c r="P175" s="314" t="s">
        <v>3557</v>
      </c>
    </row>
    <row r="176" s="106" customFormat="1" ht="20.1" customHeight="1" spans="1:16">
      <c r="A176" s="279" t="s">
        <v>1707</v>
      </c>
      <c r="B176" s="286" t="s">
        <v>1462</v>
      </c>
      <c r="C176" s="287"/>
      <c r="D176" s="288">
        <f t="shared" si="19"/>
        <v>0</v>
      </c>
      <c r="E176" s="287"/>
      <c r="F176" s="287"/>
      <c r="G176" s="287"/>
      <c r="H176" s="287"/>
      <c r="I176" s="302"/>
      <c r="J176" s="303">
        <f t="shared" si="21"/>
        <v>0</v>
      </c>
      <c r="K176" s="294" t="s">
        <v>3555</v>
      </c>
      <c r="L176" s="44">
        <v>1</v>
      </c>
      <c r="M176" s="308" t="s">
        <v>1707</v>
      </c>
      <c r="N176" s="308"/>
      <c r="O176" s="308" t="s">
        <v>525</v>
      </c>
      <c r="P176" s="314" t="s">
        <v>3558</v>
      </c>
    </row>
    <row r="177" s="106" customFormat="1" ht="20.1" customHeight="1" spans="1:16">
      <c r="A177" s="279" t="s">
        <v>1708</v>
      </c>
      <c r="B177" s="289" t="s">
        <v>1709</v>
      </c>
      <c r="C177" s="287"/>
      <c r="D177" s="288">
        <f t="shared" si="19"/>
        <v>0</v>
      </c>
      <c r="E177" s="287"/>
      <c r="F177" s="287"/>
      <c r="G177" s="287"/>
      <c r="H177" s="287"/>
      <c r="I177" s="302"/>
      <c r="J177" s="303">
        <f t="shared" si="21"/>
        <v>0</v>
      </c>
      <c r="K177" s="294" t="s">
        <v>3555</v>
      </c>
      <c r="L177" s="44">
        <v>1</v>
      </c>
      <c r="M177" s="308" t="s">
        <v>1708</v>
      </c>
      <c r="N177" s="308"/>
      <c r="O177" s="308" t="s">
        <v>525</v>
      </c>
      <c r="P177" s="314" t="s">
        <v>3653</v>
      </c>
    </row>
    <row r="178" s="106" customFormat="1" ht="20.1" customHeight="1" spans="1:16">
      <c r="A178" s="279" t="s">
        <v>1710</v>
      </c>
      <c r="B178" s="289" t="s">
        <v>1476</v>
      </c>
      <c r="C178" s="287">
        <v>10</v>
      </c>
      <c r="D178" s="288">
        <f t="shared" si="19"/>
        <v>21</v>
      </c>
      <c r="E178" s="287"/>
      <c r="F178" s="287"/>
      <c r="G178" s="287"/>
      <c r="H178" s="287"/>
      <c r="I178" s="302">
        <v>21</v>
      </c>
      <c r="J178" s="303">
        <f t="shared" si="21"/>
        <v>210</v>
      </c>
      <c r="K178" s="294" t="s">
        <v>3555</v>
      </c>
      <c r="L178" s="44">
        <v>1</v>
      </c>
      <c r="M178" s="308" t="s">
        <v>1710</v>
      </c>
      <c r="N178" s="308"/>
      <c r="O178" s="308" t="s">
        <v>525</v>
      </c>
      <c r="P178" s="314" t="s">
        <v>3565</v>
      </c>
    </row>
    <row r="179" s="106" customFormat="1" ht="20.1" customHeight="1" spans="1:16">
      <c r="A179" s="279" t="s">
        <v>1711</v>
      </c>
      <c r="B179" s="289" t="s">
        <v>1712</v>
      </c>
      <c r="C179" s="287">
        <v>398</v>
      </c>
      <c r="D179" s="288">
        <f t="shared" si="19"/>
        <v>892</v>
      </c>
      <c r="E179" s="287"/>
      <c r="F179" s="287"/>
      <c r="G179" s="287">
        <v>498</v>
      </c>
      <c r="H179" s="287"/>
      <c r="I179" s="302">
        <v>394</v>
      </c>
      <c r="J179" s="303">
        <f t="shared" si="21"/>
        <v>224.12</v>
      </c>
      <c r="K179" s="294" t="s">
        <v>3555</v>
      </c>
      <c r="L179" s="44">
        <v>1</v>
      </c>
      <c r="M179" s="308" t="s">
        <v>1711</v>
      </c>
      <c r="N179" s="308"/>
      <c r="O179" s="308" t="s">
        <v>525</v>
      </c>
      <c r="P179" s="309" t="s">
        <v>3654</v>
      </c>
    </row>
    <row r="180" s="107" customFormat="1" ht="20.1" customHeight="1" spans="1:16">
      <c r="A180" s="283" t="s">
        <v>526</v>
      </c>
      <c r="B180" s="284" t="s">
        <v>1713</v>
      </c>
      <c r="C180" s="285">
        <f t="shared" ref="C180:I180" si="27">SUM(C181:C186)</f>
        <v>264</v>
      </c>
      <c r="D180" s="285">
        <f t="shared" si="19"/>
        <v>201</v>
      </c>
      <c r="E180" s="285">
        <f t="shared" si="27"/>
        <v>0</v>
      </c>
      <c r="F180" s="285">
        <f t="shared" si="27"/>
        <v>0</v>
      </c>
      <c r="G180" s="285">
        <f t="shared" si="27"/>
        <v>0</v>
      </c>
      <c r="H180" s="285">
        <f t="shared" si="27"/>
        <v>0</v>
      </c>
      <c r="I180" s="285">
        <f t="shared" si="27"/>
        <v>201</v>
      </c>
      <c r="J180" s="299">
        <f t="shared" si="21"/>
        <v>76.14</v>
      </c>
      <c r="K180" s="300" t="s">
        <v>3551</v>
      </c>
      <c r="L180" s="301"/>
      <c r="M180" s="312" t="s">
        <v>526</v>
      </c>
      <c r="N180" s="312" t="s">
        <v>505</v>
      </c>
      <c r="O180" s="312" t="s">
        <v>526</v>
      </c>
      <c r="P180" s="313" t="s">
        <v>3655</v>
      </c>
    </row>
    <row r="181" s="106" customFormat="1" ht="20.1" customHeight="1" spans="1:16">
      <c r="A181" s="279" t="s">
        <v>1714</v>
      </c>
      <c r="B181" s="41" t="s">
        <v>1458</v>
      </c>
      <c r="C181" s="287">
        <v>157</v>
      </c>
      <c r="D181" s="288">
        <f t="shared" si="19"/>
        <v>158</v>
      </c>
      <c r="E181" s="287"/>
      <c r="F181" s="287"/>
      <c r="G181" s="287"/>
      <c r="H181" s="287"/>
      <c r="I181" s="302">
        <v>158</v>
      </c>
      <c r="J181" s="303">
        <f t="shared" si="21"/>
        <v>100.64</v>
      </c>
      <c r="K181" s="294" t="s">
        <v>3555</v>
      </c>
      <c r="L181" s="44">
        <v>1</v>
      </c>
      <c r="M181" s="308" t="s">
        <v>1714</v>
      </c>
      <c r="N181" s="308"/>
      <c r="O181" s="308" t="s">
        <v>526</v>
      </c>
      <c r="P181" s="314" t="s">
        <v>3556</v>
      </c>
    </row>
    <row r="182" s="106" customFormat="1" ht="20.1" customHeight="1" spans="1:16">
      <c r="A182" s="279" t="s">
        <v>1715</v>
      </c>
      <c r="B182" s="286" t="s">
        <v>1460</v>
      </c>
      <c r="C182" s="287">
        <v>41</v>
      </c>
      <c r="D182" s="288">
        <f t="shared" si="19"/>
        <v>34</v>
      </c>
      <c r="E182" s="287"/>
      <c r="F182" s="287"/>
      <c r="G182" s="287"/>
      <c r="H182" s="287"/>
      <c r="I182" s="302">
        <v>34</v>
      </c>
      <c r="J182" s="303">
        <f t="shared" si="21"/>
        <v>82.93</v>
      </c>
      <c r="K182" s="294" t="s">
        <v>3555</v>
      </c>
      <c r="L182" s="44">
        <v>1</v>
      </c>
      <c r="M182" s="308" t="s">
        <v>1715</v>
      </c>
      <c r="N182" s="308"/>
      <c r="O182" s="308" t="s">
        <v>526</v>
      </c>
      <c r="P182" s="314" t="s">
        <v>3557</v>
      </c>
    </row>
    <row r="183" s="106" customFormat="1" ht="20.1" customHeight="1" spans="1:16">
      <c r="A183" s="279" t="s">
        <v>1716</v>
      </c>
      <c r="B183" s="286" t="s">
        <v>1462</v>
      </c>
      <c r="C183" s="287"/>
      <c r="D183" s="288">
        <f t="shared" si="19"/>
        <v>0</v>
      </c>
      <c r="E183" s="287"/>
      <c r="F183" s="287"/>
      <c r="G183" s="287"/>
      <c r="H183" s="287"/>
      <c r="I183" s="302"/>
      <c r="J183" s="303">
        <f t="shared" si="21"/>
        <v>0</v>
      </c>
      <c r="K183" s="294" t="s">
        <v>3555</v>
      </c>
      <c r="L183" s="44">
        <v>1</v>
      </c>
      <c r="M183" s="308" t="s">
        <v>1716</v>
      </c>
      <c r="N183" s="308"/>
      <c r="O183" s="308" t="s">
        <v>526</v>
      </c>
      <c r="P183" s="314" t="s">
        <v>3558</v>
      </c>
    </row>
    <row r="184" s="106" customFormat="1" ht="20.1" customHeight="1" spans="1:16">
      <c r="A184" s="279" t="s">
        <v>1717</v>
      </c>
      <c r="B184" s="286" t="s">
        <v>1718</v>
      </c>
      <c r="C184" s="287"/>
      <c r="D184" s="288">
        <f t="shared" si="19"/>
        <v>0</v>
      </c>
      <c r="E184" s="287"/>
      <c r="F184" s="287"/>
      <c r="G184" s="287"/>
      <c r="H184" s="287"/>
      <c r="I184" s="302"/>
      <c r="J184" s="303"/>
      <c r="K184" s="294" t="s">
        <v>3555</v>
      </c>
      <c r="L184" s="44">
        <v>1</v>
      </c>
      <c r="M184" s="308" t="s">
        <v>1717</v>
      </c>
      <c r="N184" s="308"/>
      <c r="O184" s="308" t="s">
        <v>526</v>
      </c>
      <c r="P184" s="314" t="s">
        <v>3656</v>
      </c>
    </row>
    <row r="185" s="106" customFormat="1" ht="20.1" customHeight="1" spans="1:16">
      <c r="A185" s="279" t="s">
        <v>1719</v>
      </c>
      <c r="B185" s="286" t="s">
        <v>1476</v>
      </c>
      <c r="C185" s="287"/>
      <c r="D185" s="288">
        <f t="shared" si="19"/>
        <v>0</v>
      </c>
      <c r="E185" s="287"/>
      <c r="F185" s="287"/>
      <c r="G185" s="287"/>
      <c r="H185" s="287"/>
      <c r="I185" s="302"/>
      <c r="J185" s="303">
        <f t="shared" ref="J185:J210" si="28">ROUND(IF(C185=0,IF(D185=0,0,1),IF(D185=0,-1,D185/C185)),4)*100</f>
        <v>0</v>
      </c>
      <c r="K185" s="294" t="s">
        <v>3555</v>
      </c>
      <c r="L185" s="44">
        <v>1</v>
      </c>
      <c r="M185" s="308" t="s">
        <v>1719</v>
      </c>
      <c r="N185" s="308"/>
      <c r="O185" s="308" t="s">
        <v>526</v>
      </c>
      <c r="P185" s="314" t="s">
        <v>3565</v>
      </c>
    </row>
    <row r="186" s="106" customFormat="1" ht="20.1" customHeight="1" spans="1:16">
      <c r="A186" s="279" t="s">
        <v>1720</v>
      </c>
      <c r="B186" s="289" t="s">
        <v>1721</v>
      </c>
      <c r="C186" s="287">
        <v>66</v>
      </c>
      <c r="D186" s="288">
        <f t="shared" si="19"/>
        <v>9</v>
      </c>
      <c r="E186" s="287"/>
      <c r="F186" s="287"/>
      <c r="G186" s="287"/>
      <c r="H186" s="287"/>
      <c r="I186" s="302">
        <v>9</v>
      </c>
      <c r="J186" s="303">
        <f t="shared" si="28"/>
        <v>13.64</v>
      </c>
      <c r="K186" s="294" t="s">
        <v>3555</v>
      </c>
      <c r="L186" s="44">
        <v>1</v>
      </c>
      <c r="M186" s="308" t="s">
        <v>1720</v>
      </c>
      <c r="N186" s="308"/>
      <c r="O186" s="308" t="s">
        <v>526</v>
      </c>
      <c r="P186" s="309" t="s">
        <v>3657</v>
      </c>
    </row>
    <row r="187" s="107" customFormat="1" ht="20.1" customHeight="1" spans="1:16">
      <c r="A187" s="283" t="s">
        <v>527</v>
      </c>
      <c r="B187" s="284" t="s">
        <v>1722</v>
      </c>
      <c r="C187" s="285">
        <f t="shared" ref="C187:I187" si="29">SUM(C188:C194)</f>
        <v>263</v>
      </c>
      <c r="D187" s="285">
        <f t="shared" si="19"/>
        <v>187</v>
      </c>
      <c r="E187" s="285">
        <f t="shared" si="29"/>
        <v>0</v>
      </c>
      <c r="F187" s="285">
        <f t="shared" si="29"/>
        <v>0</v>
      </c>
      <c r="G187" s="285">
        <f t="shared" si="29"/>
        <v>0</v>
      </c>
      <c r="H187" s="285">
        <f t="shared" si="29"/>
        <v>0</v>
      </c>
      <c r="I187" s="285">
        <f t="shared" si="29"/>
        <v>187</v>
      </c>
      <c r="J187" s="299">
        <f t="shared" si="28"/>
        <v>71.1</v>
      </c>
      <c r="K187" s="300" t="s">
        <v>3551</v>
      </c>
      <c r="L187" s="301"/>
      <c r="M187" s="312" t="s">
        <v>527</v>
      </c>
      <c r="N187" s="312" t="s">
        <v>505</v>
      </c>
      <c r="O187" s="312" t="s">
        <v>527</v>
      </c>
      <c r="P187" s="313" t="s">
        <v>3658</v>
      </c>
    </row>
    <row r="188" s="106" customFormat="1" ht="20.1" customHeight="1" spans="1:16">
      <c r="A188" s="279" t="s">
        <v>1723</v>
      </c>
      <c r="B188" s="289" t="s">
        <v>1458</v>
      </c>
      <c r="C188" s="287">
        <v>248</v>
      </c>
      <c r="D188" s="288">
        <f t="shared" si="19"/>
        <v>184</v>
      </c>
      <c r="E188" s="287"/>
      <c r="F188" s="287"/>
      <c r="G188" s="287"/>
      <c r="H188" s="287"/>
      <c r="I188" s="302">
        <v>184</v>
      </c>
      <c r="J188" s="303">
        <f t="shared" si="28"/>
        <v>74.19</v>
      </c>
      <c r="K188" s="294" t="s">
        <v>3555</v>
      </c>
      <c r="L188" s="44">
        <v>1</v>
      </c>
      <c r="M188" s="308" t="s">
        <v>1723</v>
      </c>
      <c r="N188" s="308"/>
      <c r="O188" s="308" t="s">
        <v>527</v>
      </c>
      <c r="P188" s="314" t="s">
        <v>3556</v>
      </c>
    </row>
    <row r="189" s="106" customFormat="1" ht="20.1" customHeight="1" spans="1:16">
      <c r="A189" s="279" t="s">
        <v>1724</v>
      </c>
      <c r="B189" s="286" t="s">
        <v>1460</v>
      </c>
      <c r="C189" s="287"/>
      <c r="D189" s="288">
        <f t="shared" si="19"/>
        <v>0</v>
      </c>
      <c r="E189" s="287"/>
      <c r="F189" s="287"/>
      <c r="G189" s="287"/>
      <c r="H189" s="287"/>
      <c r="I189" s="302"/>
      <c r="J189" s="303">
        <f t="shared" si="28"/>
        <v>0</v>
      </c>
      <c r="K189" s="294" t="s">
        <v>3555</v>
      </c>
      <c r="L189" s="44">
        <v>1</v>
      </c>
      <c r="M189" s="308" t="s">
        <v>1724</v>
      </c>
      <c r="N189" s="308"/>
      <c r="O189" s="308" t="s">
        <v>527</v>
      </c>
      <c r="P189" s="314" t="s">
        <v>3557</v>
      </c>
    </row>
    <row r="190" s="106" customFormat="1" ht="20.1" customHeight="1" spans="1:16">
      <c r="A190" s="279" t="s">
        <v>1725</v>
      </c>
      <c r="B190" s="286" t="s">
        <v>1462</v>
      </c>
      <c r="C190" s="287"/>
      <c r="D190" s="288">
        <f t="shared" si="19"/>
        <v>0</v>
      </c>
      <c r="E190" s="287"/>
      <c r="F190" s="287"/>
      <c r="G190" s="287"/>
      <c r="H190" s="287"/>
      <c r="I190" s="302"/>
      <c r="J190" s="303">
        <f t="shared" si="28"/>
        <v>0</v>
      </c>
      <c r="K190" s="294" t="s">
        <v>3555</v>
      </c>
      <c r="L190" s="44">
        <v>1</v>
      </c>
      <c r="M190" s="308" t="s">
        <v>1725</v>
      </c>
      <c r="N190" s="308"/>
      <c r="O190" s="308" t="s">
        <v>527</v>
      </c>
      <c r="P190" s="314" t="s">
        <v>3558</v>
      </c>
    </row>
    <row r="191" s="106" customFormat="1" ht="20.1" customHeight="1" spans="1:16">
      <c r="A191" s="279" t="s">
        <v>1726</v>
      </c>
      <c r="B191" s="286" t="s">
        <v>1727</v>
      </c>
      <c r="C191" s="287">
        <v>5</v>
      </c>
      <c r="D191" s="288">
        <f t="shared" si="19"/>
        <v>0</v>
      </c>
      <c r="E191" s="287"/>
      <c r="F191" s="287"/>
      <c r="G191" s="287"/>
      <c r="H191" s="287"/>
      <c r="I191" s="302"/>
      <c r="J191" s="303">
        <f t="shared" si="28"/>
        <v>-100</v>
      </c>
      <c r="K191" s="294" t="s">
        <v>3555</v>
      </c>
      <c r="L191" s="44">
        <v>1</v>
      </c>
      <c r="M191" s="308" t="s">
        <v>1726</v>
      </c>
      <c r="N191" s="308"/>
      <c r="O191" s="308" t="s">
        <v>527</v>
      </c>
      <c r="P191" s="314" t="s">
        <v>3659</v>
      </c>
    </row>
    <row r="192" s="106" customFormat="1" ht="20.1" customHeight="1" spans="1:16">
      <c r="A192" s="279" t="s">
        <v>1728</v>
      </c>
      <c r="B192" s="286" t="s">
        <v>1729</v>
      </c>
      <c r="C192" s="287"/>
      <c r="D192" s="288">
        <f t="shared" si="19"/>
        <v>0</v>
      </c>
      <c r="E192" s="287"/>
      <c r="F192" s="287"/>
      <c r="G192" s="287"/>
      <c r="H192" s="287"/>
      <c r="I192" s="302"/>
      <c r="J192" s="303">
        <f t="shared" si="28"/>
        <v>0</v>
      </c>
      <c r="K192" s="294" t="s">
        <v>3555</v>
      </c>
      <c r="L192" s="44">
        <v>1</v>
      </c>
      <c r="M192" s="308" t="s">
        <v>1728</v>
      </c>
      <c r="N192" s="308"/>
      <c r="O192" s="308" t="s">
        <v>527</v>
      </c>
      <c r="P192" s="314" t="s">
        <v>3660</v>
      </c>
    </row>
    <row r="193" s="106" customFormat="1" ht="20.1" customHeight="1" spans="1:16">
      <c r="A193" s="279" t="s">
        <v>1730</v>
      </c>
      <c r="B193" s="286" t="s">
        <v>1476</v>
      </c>
      <c r="C193" s="287"/>
      <c r="D193" s="288">
        <f t="shared" si="19"/>
        <v>0</v>
      </c>
      <c r="E193" s="287"/>
      <c r="F193" s="287"/>
      <c r="G193" s="287"/>
      <c r="H193" s="287"/>
      <c r="I193" s="302"/>
      <c r="J193" s="303">
        <f t="shared" si="28"/>
        <v>0</v>
      </c>
      <c r="K193" s="294" t="s">
        <v>3555</v>
      </c>
      <c r="L193" s="44">
        <v>1</v>
      </c>
      <c r="M193" s="308" t="s">
        <v>1730</v>
      </c>
      <c r="N193" s="308"/>
      <c r="O193" s="308" t="s">
        <v>527</v>
      </c>
      <c r="P193" s="314" t="s">
        <v>3565</v>
      </c>
    </row>
    <row r="194" s="106" customFormat="1" ht="20.1" customHeight="1" spans="1:16">
      <c r="A194" s="279" t="s">
        <v>1731</v>
      </c>
      <c r="B194" s="289" t="s">
        <v>1732</v>
      </c>
      <c r="C194" s="287">
        <v>10</v>
      </c>
      <c r="D194" s="288">
        <f t="shared" si="19"/>
        <v>3</v>
      </c>
      <c r="E194" s="287"/>
      <c r="F194" s="287"/>
      <c r="G194" s="287"/>
      <c r="H194" s="287"/>
      <c r="I194" s="302">
        <v>3</v>
      </c>
      <c r="J194" s="303">
        <f t="shared" si="28"/>
        <v>30</v>
      </c>
      <c r="K194" s="294" t="s">
        <v>3555</v>
      </c>
      <c r="L194" s="44">
        <v>1</v>
      </c>
      <c r="M194" s="308" t="s">
        <v>1731</v>
      </c>
      <c r="N194" s="308"/>
      <c r="O194" s="308" t="s">
        <v>527</v>
      </c>
      <c r="P194" s="309" t="s">
        <v>3661</v>
      </c>
    </row>
    <row r="195" s="107" customFormat="1" ht="20.1" customHeight="1" spans="1:16">
      <c r="A195" s="283" t="s">
        <v>528</v>
      </c>
      <c r="B195" s="284" t="s">
        <v>1733</v>
      </c>
      <c r="C195" s="285">
        <v>0</v>
      </c>
      <c r="D195" s="285">
        <f t="shared" si="19"/>
        <v>0</v>
      </c>
      <c r="E195" s="285">
        <f t="shared" ref="E195:I195" si="30">SUM(E196:E200)</f>
        <v>0</v>
      </c>
      <c r="F195" s="285">
        <f t="shared" si="30"/>
        <v>0</v>
      </c>
      <c r="G195" s="285">
        <f t="shared" si="30"/>
        <v>0</v>
      </c>
      <c r="H195" s="285">
        <f t="shared" si="30"/>
        <v>0</v>
      </c>
      <c r="I195" s="285">
        <f t="shared" si="30"/>
        <v>0</v>
      </c>
      <c r="J195" s="299">
        <f t="shared" si="28"/>
        <v>0</v>
      </c>
      <c r="K195" s="300" t="s">
        <v>3551</v>
      </c>
      <c r="L195" s="301"/>
      <c r="M195" s="312" t="s">
        <v>528</v>
      </c>
      <c r="N195" s="312" t="s">
        <v>505</v>
      </c>
      <c r="O195" s="312" t="s">
        <v>528</v>
      </c>
      <c r="P195" s="313" t="s">
        <v>3662</v>
      </c>
    </row>
    <row r="196" s="106" customFormat="1" ht="20.1" customHeight="1" spans="1:16">
      <c r="A196" s="279" t="s">
        <v>1734</v>
      </c>
      <c r="B196" s="289" t="s">
        <v>1458</v>
      </c>
      <c r="C196" s="287">
        <v>0</v>
      </c>
      <c r="D196" s="288">
        <f t="shared" ref="D196:D240" si="31">SUM(E196:I196)</f>
        <v>0</v>
      </c>
      <c r="E196" s="287"/>
      <c r="F196" s="287"/>
      <c r="G196" s="287"/>
      <c r="H196" s="287"/>
      <c r="I196" s="302"/>
      <c r="J196" s="303">
        <f t="shared" si="28"/>
        <v>0</v>
      </c>
      <c r="K196" s="294" t="s">
        <v>3555</v>
      </c>
      <c r="L196" s="44">
        <v>1</v>
      </c>
      <c r="M196" s="308" t="s">
        <v>1734</v>
      </c>
      <c r="N196" s="308"/>
      <c r="O196" s="308" t="s">
        <v>528</v>
      </c>
      <c r="P196" s="314" t="s">
        <v>3556</v>
      </c>
    </row>
    <row r="197" s="106" customFormat="1" ht="20.1" customHeight="1" spans="1:16">
      <c r="A197" s="279" t="s">
        <v>1735</v>
      </c>
      <c r="B197" s="41" t="s">
        <v>1460</v>
      </c>
      <c r="C197" s="287">
        <v>0</v>
      </c>
      <c r="D197" s="288">
        <f t="shared" si="31"/>
        <v>0</v>
      </c>
      <c r="E197" s="287"/>
      <c r="F197" s="287"/>
      <c r="G197" s="287"/>
      <c r="H197" s="287"/>
      <c r="I197" s="302"/>
      <c r="J197" s="303">
        <f t="shared" si="28"/>
        <v>0</v>
      </c>
      <c r="K197" s="294" t="s">
        <v>3555</v>
      </c>
      <c r="L197" s="44">
        <v>1</v>
      </c>
      <c r="M197" s="308" t="s">
        <v>1735</v>
      </c>
      <c r="N197" s="308"/>
      <c r="O197" s="308" t="s">
        <v>528</v>
      </c>
      <c r="P197" s="314" t="s">
        <v>3557</v>
      </c>
    </row>
    <row r="198" s="106" customFormat="1" ht="20.1" customHeight="1" spans="1:16">
      <c r="A198" s="279" t="s">
        <v>1736</v>
      </c>
      <c r="B198" s="286" t="s">
        <v>1462</v>
      </c>
      <c r="C198" s="287">
        <v>0</v>
      </c>
      <c r="D198" s="288">
        <f t="shared" si="31"/>
        <v>0</v>
      </c>
      <c r="E198" s="287"/>
      <c r="F198" s="287"/>
      <c r="G198" s="287"/>
      <c r="H198" s="287"/>
      <c r="I198" s="302"/>
      <c r="J198" s="303">
        <f t="shared" si="28"/>
        <v>0</v>
      </c>
      <c r="K198" s="294" t="s">
        <v>3555</v>
      </c>
      <c r="L198" s="44">
        <v>1</v>
      </c>
      <c r="M198" s="308" t="s">
        <v>1736</v>
      </c>
      <c r="N198" s="308"/>
      <c r="O198" s="308" t="s">
        <v>528</v>
      </c>
      <c r="P198" s="314" t="s">
        <v>3558</v>
      </c>
    </row>
    <row r="199" s="106" customFormat="1" ht="20.1" customHeight="1" spans="1:16">
      <c r="A199" s="279" t="s">
        <v>1737</v>
      </c>
      <c r="B199" s="286" t="s">
        <v>1476</v>
      </c>
      <c r="C199" s="287">
        <v>0</v>
      </c>
      <c r="D199" s="288">
        <f t="shared" si="31"/>
        <v>0</v>
      </c>
      <c r="E199" s="287"/>
      <c r="F199" s="287"/>
      <c r="G199" s="287"/>
      <c r="H199" s="287"/>
      <c r="I199" s="302"/>
      <c r="J199" s="303">
        <f t="shared" si="28"/>
        <v>0</v>
      </c>
      <c r="K199" s="294" t="s">
        <v>3555</v>
      </c>
      <c r="L199" s="44">
        <v>1</v>
      </c>
      <c r="M199" s="308" t="s">
        <v>1737</v>
      </c>
      <c r="N199" s="308"/>
      <c r="O199" s="308" t="s">
        <v>528</v>
      </c>
      <c r="P199" s="314" t="s">
        <v>3565</v>
      </c>
    </row>
    <row r="200" s="106" customFormat="1" ht="20.1" customHeight="1" spans="1:16">
      <c r="A200" s="279" t="s">
        <v>1738</v>
      </c>
      <c r="B200" s="286" t="s">
        <v>1739</v>
      </c>
      <c r="C200" s="287">
        <v>0</v>
      </c>
      <c r="D200" s="288">
        <f t="shared" si="31"/>
        <v>0</v>
      </c>
      <c r="E200" s="287"/>
      <c r="F200" s="287"/>
      <c r="G200" s="287"/>
      <c r="H200" s="287"/>
      <c r="I200" s="302"/>
      <c r="J200" s="303">
        <f t="shared" si="28"/>
        <v>0</v>
      </c>
      <c r="K200" s="294" t="s">
        <v>3555</v>
      </c>
      <c r="L200" s="44">
        <v>1</v>
      </c>
      <c r="M200" s="308" t="s">
        <v>1738</v>
      </c>
      <c r="N200" s="308"/>
      <c r="O200" s="308" t="s">
        <v>528</v>
      </c>
      <c r="P200" s="309" t="s">
        <v>3663</v>
      </c>
    </row>
    <row r="201" s="107" customFormat="1" ht="20.1" customHeight="1" spans="1:16">
      <c r="A201" s="283" t="s">
        <v>529</v>
      </c>
      <c r="B201" s="284" t="s">
        <v>1740</v>
      </c>
      <c r="C201" s="285">
        <f t="shared" ref="C201:I201" si="32">SUM(C202:C206)</f>
        <v>482</v>
      </c>
      <c r="D201" s="285">
        <f t="shared" si="31"/>
        <v>473</v>
      </c>
      <c r="E201" s="285">
        <f t="shared" si="32"/>
        <v>0</v>
      </c>
      <c r="F201" s="285">
        <f t="shared" si="32"/>
        <v>0</v>
      </c>
      <c r="G201" s="285">
        <f t="shared" si="32"/>
        <v>0</v>
      </c>
      <c r="H201" s="285">
        <f t="shared" si="32"/>
        <v>0</v>
      </c>
      <c r="I201" s="285">
        <f t="shared" si="32"/>
        <v>473</v>
      </c>
      <c r="J201" s="299">
        <f t="shared" si="28"/>
        <v>98.13</v>
      </c>
      <c r="K201" s="300" t="s">
        <v>3551</v>
      </c>
      <c r="L201" s="301"/>
      <c r="M201" s="312" t="s">
        <v>529</v>
      </c>
      <c r="N201" s="312" t="s">
        <v>505</v>
      </c>
      <c r="O201" s="312" t="s">
        <v>529</v>
      </c>
      <c r="P201" s="313" t="s">
        <v>3664</v>
      </c>
    </row>
    <row r="202" s="106" customFormat="1" ht="20.1" customHeight="1" spans="1:16">
      <c r="A202" s="279" t="s">
        <v>1741</v>
      </c>
      <c r="B202" s="289" t="s">
        <v>1458</v>
      </c>
      <c r="C202" s="287">
        <v>479</v>
      </c>
      <c r="D202" s="288">
        <f t="shared" si="31"/>
        <v>453</v>
      </c>
      <c r="E202" s="287"/>
      <c r="F202" s="287"/>
      <c r="G202" s="287"/>
      <c r="H202" s="287"/>
      <c r="I202" s="302">
        <v>453</v>
      </c>
      <c r="J202" s="303">
        <f t="shared" si="28"/>
        <v>94.57</v>
      </c>
      <c r="K202" s="294" t="s">
        <v>3555</v>
      </c>
      <c r="L202" s="44">
        <v>1</v>
      </c>
      <c r="M202" s="308" t="s">
        <v>1741</v>
      </c>
      <c r="N202" s="308"/>
      <c r="O202" s="308" t="s">
        <v>529</v>
      </c>
      <c r="P202" s="314" t="s">
        <v>3556</v>
      </c>
    </row>
    <row r="203" s="106" customFormat="1" ht="20.1" customHeight="1" spans="1:16">
      <c r="A203" s="279" t="s">
        <v>1742</v>
      </c>
      <c r="B203" s="289" t="s">
        <v>1460</v>
      </c>
      <c r="C203" s="287"/>
      <c r="D203" s="288">
        <f t="shared" si="31"/>
        <v>0</v>
      </c>
      <c r="E203" s="287"/>
      <c r="F203" s="287"/>
      <c r="G203" s="287"/>
      <c r="H203" s="287"/>
      <c r="I203" s="302"/>
      <c r="J203" s="303">
        <f t="shared" si="28"/>
        <v>0</v>
      </c>
      <c r="K203" s="294" t="s">
        <v>3555</v>
      </c>
      <c r="L203" s="44">
        <v>1</v>
      </c>
      <c r="M203" s="308" t="s">
        <v>1742</v>
      </c>
      <c r="N203" s="308"/>
      <c r="O203" s="308" t="s">
        <v>529</v>
      </c>
      <c r="P203" s="314" t="s">
        <v>3557</v>
      </c>
    </row>
    <row r="204" s="106" customFormat="1" ht="20.1" customHeight="1" spans="1:16">
      <c r="A204" s="279" t="s">
        <v>1743</v>
      </c>
      <c r="B204" s="286" t="s">
        <v>1462</v>
      </c>
      <c r="C204" s="287"/>
      <c r="D204" s="288">
        <f t="shared" si="31"/>
        <v>0</v>
      </c>
      <c r="E204" s="287"/>
      <c r="F204" s="287"/>
      <c r="G204" s="287"/>
      <c r="H204" s="287"/>
      <c r="I204" s="302"/>
      <c r="J204" s="303">
        <f t="shared" si="28"/>
        <v>0</v>
      </c>
      <c r="K204" s="294" t="s">
        <v>3555</v>
      </c>
      <c r="L204" s="44">
        <v>1</v>
      </c>
      <c r="M204" s="308" t="s">
        <v>1743</v>
      </c>
      <c r="N204" s="308"/>
      <c r="O204" s="308" t="s">
        <v>529</v>
      </c>
      <c r="P204" s="314" t="s">
        <v>3558</v>
      </c>
    </row>
    <row r="205" s="106" customFormat="1" ht="20.1" customHeight="1" spans="1:16">
      <c r="A205" s="279" t="s">
        <v>1744</v>
      </c>
      <c r="B205" s="286" t="s">
        <v>1476</v>
      </c>
      <c r="C205" s="287"/>
      <c r="D205" s="288">
        <f t="shared" si="31"/>
        <v>0</v>
      </c>
      <c r="E205" s="287"/>
      <c r="F205" s="287"/>
      <c r="G205" s="287"/>
      <c r="H205" s="287"/>
      <c r="I205" s="302"/>
      <c r="J205" s="303">
        <f t="shared" si="28"/>
        <v>0</v>
      </c>
      <c r="K205" s="294" t="s">
        <v>3555</v>
      </c>
      <c r="L205" s="44">
        <v>1</v>
      </c>
      <c r="M205" s="308" t="s">
        <v>1744</v>
      </c>
      <c r="N205" s="308"/>
      <c r="O205" s="308" t="s">
        <v>529</v>
      </c>
      <c r="P205" s="314" t="s">
        <v>3565</v>
      </c>
    </row>
    <row r="206" s="106" customFormat="1" ht="20.1" customHeight="1" spans="1:16">
      <c r="A206" s="279" t="s">
        <v>1745</v>
      </c>
      <c r="B206" s="286" t="s">
        <v>1746</v>
      </c>
      <c r="C206" s="287">
        <v>3</v>
      </c>
      <c r="D206" s="288">
        <f t="shared" si="31"/>
        <v>20</v>
      </c>
      <c r="E206" s="287"/>
      <c r="F206" s="287"/>
      <c r="G206" s="287"/>
      <c r="H206" s="287"/>
      <c r="I206" s="302">
        <v>20</v>
      </c>
      <c r="J206" s="303">
        <f t="shared" si="28"/>
        <v>666.67</v>
      </c>
      <c r="K206" s="294" t="s">
        <v>3555</v>
      </c>
      <c r="L206" s="44">
        <v>1</v>
      </c>
      <c r="M206" s="308" t="s">
        <v>1745</v>
      </c>
      <c r="N206" s="308"/>
      <c r="O206" s="308" t="s">
        <v>529</v>
      </c>
      <c r="P206" s="314" t="s">
        <v>3664</v>
      </c>
    </row>
    <row r="207" s="107" customFormat="1" ht="20.1" customHeight="1" spans="1:16">
      <c r="A207" s="283" t="s">
        <v>530</v>
      </c>
      <c r="B207" s="284" t="s">
        <v>1747</v>
      </c>
      <c r="C207" s="285">
        <f t="shared" ref="C207:I207" si="33">SUM(C208:C213)</f>
        <v>0</v>
      </c>
      <c r="D207" s="285">
        <f t="shared" si="31"/>
        <v>0</v>
      </c>
      <c r="E207" s="285">
        <f t="shared" si="33"/>
        <v>0</v>
      </c>
      <c r="F207" s="285">
        <f t="shared" si="33"/>
        <v>0</v>
      </c>
      <c r="G207" s="285">
        <f t="shared" si="33"/>
        <v>0</v>
      </c>
      <c r="H207" s="285">
        <f t="shared" si="33"/>
        <v>0</v>
      </c>
      <c r="I207" s="285">
        <f t="shared" si="33"/>
        <v>0</v>
      </c>
      <c r="J207" s="299">
        <f t="shared" si="28"/>
        <v>0</v>
      </c>
      <c r="K207" s="300" t="s">
        <v>3551</v>
      </c>
      <c r="L207" s="301"/>
      <c r="M207" s="312" t="s">
        <v>530</v>
      </c>
      <c r="N207" s="312" t="s">
        <v>505</v>
      </c>
      <c r="O207" s="312" t="s">
        <v>530</v>
      </c>
      <c r="P207" s="313" t="s">
        <v>3665</v>
      </c>
    </row>
    <row r="208" s="106" customFormat="1" ht="20.1" customHeight="1" spans="1:16">
      <c r="A208" s="279" t="s">
        <v>1748</v>
      </c>
      <c r="B208" s="289" t="s">
        <v>1458</v>
      </c>
      <c r="C208" s="287">
        <v>0</v>
      </c>
      <c r="D208" s="288">
        <f t="shared" si="31"/>
        <v>0</v>
      </c>
      <c r="E208" s="287"/>
      <c r="F208" s="287"/>
      <c r="G208" s="287"/>
      <c r="H208" s="287"/>
      <c r="I208" s="302"/>
      <c r="J208" s="303">
        <f t="shared" si="28"/>
        <v>0</v>
      </c>
      <c r="K208" s="294" t="s">
        <v>3555</v>
      </c>
      <c r="L208" s="44">
        <v>1</v>
      </c>
      <c r="M208" s="308" t="s">
        <v>1748</v>
      </c>
      <c r="N208" s="308"/>
      <c r="O208" s="308" t="s">
        <v>530</v>
      </c>
      <c r="P208" s="314" t="s">
        <v>3556</v>
      </c>
    </row>
    <row r="209" s="106" customFormat="1" ht="20.1" customHeight="1" spans="1:16">
      <c r="A209" s="279" t="s">
        <v>1749</v>
      </c>
      <c r="B209" s="289" t="s">
        <v>1460</v>
      </c>
      <c r="C209" s="287">
        <v>0</v>
      </c>
      <c r="D209" s="288">
        <f t="shared" si="31"/>
        <v>0</v>
      </c>
      <c r="E209" s="287"/>
      <c r="F209" s="287"/>
      <c r="G209" s="287"/>
      <c r="H209" s="287"/>
      <c r="I209" s="302"/>
      <c r="J209" s="303">
        <f t="shared" si="28"/>
        <v>0</v>
      </c>
      <c r="K209" s="294" t="s">
        <v>3555</v>
      </c>
      <c r="L209" s="44">
        <v>1</v>
      </c>
      <c r="M209" s="308" t="s">
        <v>1749</v>
      </c>
      <c r="N209" s="308"/>
      <c r="O209" s="308" t="s">
        <v>530</v>
      </c>
      <c r="P209" s="314" t="s">
        <v>3557</v>
      </c>
    </row>
    <row r="210" s="106" customFormat="1" ht="20.1" customHeight="1" spans="1:16">
      <c r="A210" s="279" t="s">
        <v>1750</v>
      </c>
      <c r="B210" s="286" t="s">
        <v>1462</v>
      </c>
      <c r="C210" s="287">
        <v>0</v>
      </c>
      <c r="D210" s="288">
        <f t="shared" si="31"/>
        <v>0</v>
      </c>
      <c r="E210" s="287"/>
      <c r="F210" s="287"/>
      <c r="G210" s="287"/>
      <c r="H210" s="287"/>
      <c r="I210" s="302"/>
      <c r="J210" s="303">
        <f t="shared" si="28"/>
        <v>0</v>
      </c>
      <c r="K210" s="294" t="s">
        <v>3555</v>
      </c>
      <c r="L210" s="44">
        <v>1</v>
      </c>
      <c r="M210" s="308" t="s">
        <v>1750</v>
      </c>
      <c r="N210" s="308"/>
      <c r="O210" s="308" t="s">
        <v>530</v>
      </c>
      <c r="P210" s="314" t="s">
        <v>3558</v>
      </c>
    </row>
    <row r="211" s="106" customFormat="1" ht="20.1" customHeight="1" spans="1:16">
      <c r="A211" s="279" t="s">
        <v>1751</v>
      </c>
      <c r="B211" s="286" t="s">
        <v>1752</v>
      </c>
      <c r="C211" s="287"/>
      <c r="D211" s="288">
        <f t="shared" si="31"/>
        <v>0</v>
      </c>
      <c r="E211" s="287"/>
      <c r="F211" s="287"/>
      <c r="G211" s="287"/>
      <c r="H211" s="287"/>
      <c r="I211" s="302"/>
      <c r="J211" s="303"/>
      <c r="K211" s="294" t="s">
        <v>3555</v>
      </c>
      <c r="L211" s="44">
        <v>1</v>
      </c>
      <c r="M211" s="308" t="s">
        <v>3666</v>
      </c>
      <c r="N211" s="308"/>
      <c r="O211" s="308" t="s">
        <v>530</v>
      </c>
      <c r="P211" s="314" t="s">
        <v>3667</v>
      </c>
    </row>
    <row r="212" s="106" customFormat="1" ht="20.1" customHeight="1" spans="1:16">
      <c r="A212" s="279" t="s">
        <v>1753</v>
      </c>
      <c r="B212" s="286" t="s">
        <v>1476</v>
      </c>
      <c r="C212" s="287">
        <v>0</v>
      </c>
      <c r="D212" s="288">
        <f t="shared" si="31"/>
        <v>0</v>
      </c>
      <c r="E212" s="287"/>
      <c r="F212" s="287"/>
      <c r="G212" s="287"/>
      <c r="H212" s="287"/>
      <c r="I212" s="302"/>
      <c r="J212" s="303">
        <f t="shared" ref="J212:J224" si="34">ROUND(IF(C212=0,IF(D212=0,0,1),IF(D212=0,-1,D212/C212)),4)*100</f>
        <v>0</v>
      </c>
      <c r="K212" s="294" t="s">
        <v>3555</v>
      </c>
      <c r="L212" s="44">
        <v>1</v>
      </c>
      <c r="M212" s="308" t="s">
        <v>1753</v>
      </c>
      <c r="N212" s="308"/>
      <c r="O212" s="308" t="s">
        <v>530</v>
      </c>
      <c r="P212" s="314" t="s">
        <v>3565</v>
      </c>
    </row>
    <row r="213" s="106" customFormat="1" ht="20.1" customHeight="1" spans="1:16">
      <c r="A213" s="279" t="s">
        <v>1754</v>
      </c>
      <c r="B213" s="286" t="s">
        <v>1755</v>
      </c>
      <c r="C213" s="287"/>
      <c r="D213" s="288">
        <f t="shared" si="31"/>
        <v>0</v>
      </c>
      <c r="E213" s="287"/>
      <c r="F213" s="287"/>
      <c r="G213" s="287"/>
      <c r="H213" s="287"/>
      <c r="I213" s="302"/>
      <c r="J213" s="303">
        <f t="shared" si="34"/>
        <v>0</v>
      </c>
      <c r="K213" s="294" t="s">
        <v>3555</v>
      </c>
      <c r="L213" s="44">
        <v>1</v>
      </c>
      <c r="M213" s="308" t="s">
        <v>1754</v>
      </c>
      <c r="N213" s="308"/>
      <c r="O213" s="308" t="s">
        <v>530</v>
      </c>
      <c r="P213" s="314" t="s">
        <v>3668</v>
      </c>
    </row>
    <row r="214" s="107" customFormat="1" ht="20.1" customHeight="1" spans="1:16">
      <c r="A214" s="283" t="s">
        <v>531</v>
      </c>
      <c r="B214" s="284" t="s">
        <v>1756</v>
      </c>
      <c r="C214" s="285">
        <f t="shared" ref="C214:I214" si="35">SUM(C215:C228)</f>
        <v>1654</v>
      </c>
      <c r="D214" s="285">
        <f t="shared" si="31"/>
        <v>1447</v>
      </c>
      <c r="E214" s="285">
        <f t="shared" si="35"/>
        <v>30</v>
      </c>
      <c r="F214" s="285">
        <f t="shared" si="35"/>
        <v>5</v>
      </c>
      <c r="G214" s="285">
        <f t="shared" si="35"/>
        <v>38</v>
      </c>
      <c r="H214" s="285">
        <f t="shared" si="35"/>
        <v>0</v>
      </c>
      <c r="I214" s="285">
        <f t="shared" si="35"/>
        <v>1374</v>
      </c>
      <c r="J214" s="299">
        <f t="shared" si="34"/>
        <v>87.48</v>
      </c>
      <c r="K214" s="300" t="s">
        <v>3551</v>
      </c>
      <c r="L214" s="301"/>
      <c r="M214" s="312" t="s">
        <v>531</v>
      </c>
      <c r="N214" s="312" t="s">
        <v>505</v>
      </c>
      <c r="O214" s="312" t="s">
        <v>531</v>
      </c>
      <c r="P214" s="313" t="s">
        <v>3669</v>
      </c>
    </row>
    <row r="215" s="106" customFormat="1" ht="20.1" customHeight="1" spans="1:16">
      <c r="A215" s="279" t="s">
        <v>1757</v>
      </c>
      <c r="B215" s="289" t="s">
        <v>1458</v>
      </c>
      <c r="C215" s="287">
        <v>1405</v>
      </c>
      <c r="D215" s="288">
        <f t="shared" si="31"/>
        <v>1300</v>
      </c>
      <c r="E215" s="287"/>
      <c r="F215" s="287"/>
      <c r="G215" s="287"/>
      <c r="H215" s="287"/>
      <c r="I215" s="302">
        <v>1300</v>
      </c>
      <c r="J215" s="303">
        <f t="shared" si="34"/>
        <v>92.53</v>
      </c>
      <c r="K215" s="294" t="s">
        <v>3555</v>
      </c>
      <c r="L215" s="44">
        <v>1</v>
      </c>
      <c r="M215" s="308" t="s">
        <v>1757</v>
      </c>
      <c r="N215" s="308"/>
      <c r="O215" s="308" t="s">
        <v>531</v>
      </c>
      <c r="P215" s="314" t="s">
        <v>3556</v>
      </c>
    </row>
    <row r="216" s="106" customFormat="1" ht="20.1" customHeight="1" spans="1:16">
      <c r="A216" s="279" t="s">
        <v>1758</v>
      </c>
      <c r="B216" s="289" t="s">
        <v>1460</v>
      </c>
      <c r="C216" s="287"/>
      <c r="D216" s="288">
        <f t="shared" si="31"/>
        <v>0</v>
      </c>
      <c r="E216" s="287"/>
      <c r="F216" s="287"/>
      <c r="G216" s="287"/>
      <c r="H216" s="287"/>
      <c r="I216" s="302"/>
      <c r="J216" s="303">
        <f t="shared" si="34"/>
        <v>0</v>
      </c>
      <c r="K216" s="294" t="s">
        <v>3555</v>
      </c>
      <c r="L216" s="44">
        <v>1</v>
      </c>
      <c r="M216" s="308" t="s">
        <v>1758</v>
      </c>
      <c r="N216" s="308"/>
      <c r="O216" s="308" t="s">
        <v>531</v>
      </c>
      <c r="P216" s="314" t="s">
        <v>3557</v>
      </c>
    </row>
    <row r="217" s="106" customFormat="1" ht="20.1" customHeight="1" spans="1:16">
      <c r="A217" s="279" t="s">
        <v>1759</v>
      </c>
      <c r="B217" s="286" t="s">
        <v>1462</v>
      </c>
      <c r="C217" s="287"/>
      <c r="D217" s="288">
        <f t="shared" si="31"/>
        <v>0</v>
      </c>
      <c r="E217" s="287"/>
      <c r="F217" s="287"/>
      <c r="G217" s="287"/>
      <c r="H217" s="287"/>
      <c r="I217" s="302"/>
      <c r="J217" s="303">
        <f t="shared" si="34"/>
        <v>0</v>
      </c>
      <c r="K217" s="294" t="s">
        <v>3555</v>
      </c>
      <c r="L217" s="44">
        <v>1</v>
      </c>
      <c r="M217" s="308" t="s">
        <v>1759</v>
      </c>
      <c r="N217" s="308"/>
      <c r="O217" s="308" t="s">
        <v>531</v>
      </c>
      <c r="P217" s="314" t="s">
        <v>3558</v>
      </c>
    </row>
    <row r="218" s="106" customFormat="1" ht="20.1" customHeight="1" spans="1:16">
      <c r="A218" s="279" t="s">
        <v>1760</v>
      </c>
      <c r="B218" s="286" t="s">
        <v>1761</v>
      </c>
      <c r="C218" s="287">
        <v>9</v>
      </c>
      <c r="D218" s="288">
        <f t="shared" si="31"/>
        <v>1</v>
      </c>
      <c r="E218" s="287"/>
      <c r="F218" s="287"/>
      <c r="G218" s="287"/>
      <c r="H218" s="287"/>
      <c r="I218" s="302">
        <v>1</v>
      </c>
      <c r="J218" s="303">
        <f t="shared" si="34"/>
        <v>11.11</v>
      </c>
      <c r="K218" s="294" t="s">
        <v>3555</v>
      </c>
      <c r="L218" s="44">
        <v>1</v>
      </c>
      <c r="M218" s="308" t="s">
        <v>1760</v>
      </c>
      <c r="N218" s="308"/>
      <c r="O218" s="308" t="s">
        <v>531</v>
      </c>
      <c r="P218" s="315" t="s">
        <v>3670</v>
      </c>
    </row>
    <row r="219" s="106" customFormat="1" ht="20.1" customHeight="1" spans="1:16">
      <c r="A219" s="279" t="s">
        <v>1762</v>
      </c>
      <c r="B219" s="286" t="s">
        <v>1763</v>
      </c>
      <c r="C219" s="287">
        <v>30</v>
      </c>
      <c r="D219" s="288">
        <f t="shared" si="31"/>
        <v>31</v>
      </c>
      <c r="E219" s="287"/>
      <c r="F219" s="287"/>
      <c r="G219" s="287">
        <v>31</v>
      </c>
      <c r="H219" s="287"/>
      <c r="I219" s="302"/>
      <c r="J219" s="303">
        <f t="shared" si="34"/>
        <v>103.33</v>
      </c>
      <c r="K219" s="294" t="s">
        <v>3555</v>
      </c>
      <c r="L219" s="44">
        <v>1</v>
      </c>
      <c r="M219" s="308" t="s">
        <v>1762</v>
      </c>
      <c r="N219" s="308"/>
      <c r="O219" s="308" t="s">
        <v>531</v>
      </c>
      <c r="P219" s="315" t="s">
        <v>3671</v>
      </c>
    </row>
    <row r="220" s="106" customFormat="1" ht="20.1" customHeight="1" spans="1:16">
      <c r="A220" s="279" t="s">
        <v>1764</v>
      </c>
      <c r="B220" s="286" t="s">
        <v>1553</v>
      </c>
      <c r="C220" s="287"/>
      <c r="D220" s="288">
        <f t="shared" si="31"/>
        <v>0</v>
      </c>
      <c r="E220" s="287"/>
      <c r="F220" s="287"/>
      <c r="G220" s="287"/>
      <c r="H220" s="287"/>
      <c r="I220" s="302"/>
      <c r="J220" s="303">
        <f t="shared" si="34"/>
        <v>0</v>
      </c>
      <c r="K220" s="294" t="s">
        <v>3555</v>
      </c>
      <c r="L220" s="44">
        <v>1</v>
      </c>
      <c r="M220" s="308" t="s">
        <v>1764</v>
      </c>
      <c r="N220" s="308"/>
      <c r="O220" s="308" t="s">
        <v>531</v>
      </c>
      <c r="P220" s="315" t="s">
        <v>3596</v>
      </c>
    </row>
    <row r="221" s="106" customFormat="1" ht="20.1" customHeight="1" spans="1:16">
      <c r="A221" s="279" t="s">
        <v>1765</v>
      </c>
      <c r="B221" s="286" t="s">
        <v>1766</v>
      </c>
      <c r="C221" s="287">
        <v>11</v>
      </c>
      <c r="D221" s="288">
        <f t="shared" si="31"/>
        <v>0</v>
      </c>
      <c r="E221" s="287"/>
      <c r="F221" s="287"/>
      <c r="G221" s="287"/>
      <c r="H221" s="287"/>
      <c r="I221" s="302"/>
      <c r="J221" s="303">
        <f t="shared" si="34"/>
        <v>-100</v>
      </c>
      <c r="K221" s="294" t="s">
        <v>3555</v>
      </c>
      <c r="L221" s="44">
        <v>1</v>
      </c>
      <c r="M221" s="308" t="s">
        <v>1765</v>
      </c>
      <c r="N221" s="308"/>
      <c r="O221" s="308" t="s">
        <v>531</v>
      </c>
      <c r="P221" s="315" t="s">
        <v>3672</v>
      </c>
    </row>
    <row r="222" s="106" customFormat="1" ht="20.1" customHeight="1" spans="1:16">
      <c r="A222" s="279" t="s">
        <v>1767</v>
      </c>
      <c r="B222" s="286" t="s">
        <v>1768</v>
      </c>
      <c r="C222" s="287">
        <v>5</v>
      </c>
      <c r="D222" s="288">
        <f t="shared" si="31"/>
        <v>5</v>
      </c>
      <c r="E222" s="287"/>
      <c r="F222" s="287">
        <v>5</v>
      </c>
      <c r="G222" s="287"/>
      <c r="H222" s="287"/>
      <c r="I222" s="302"/>
      <c r="J222" s="303">
        <f t="shared" si="34"/>
        <v>100</v>
      </c>
      <c r="K222" s="294" t="s">
        <v>3555</v>
      </c>
      <c r="L222" s="44">
        <v>1</v>
      </c>
      <c r="M222" s="308" t="s">
        <v>1767</v>
      </c>
      <c r="N222" s="308"/>
      <c r="O222" s="308" t="s">
        <v>531</v>
      </c>
      <c r="P222" s="315" t="s">
        <v>3673</v>
      </c>
    </row>
    <row r="223" s="106" customFormat="1" ht="20.1" customHeight="1" spans="1:16">
      <c r="A223" s="279" t="s">
        <v>1769</v>
      </c>
      <c r="B223" s="286" t="s">
        <v>1770</v>
      </c>
      <c r="C223" s="287"/>
      <c r="D223" s="288">
        <f t="shared" si="31"/>
        <v>0</v>
      </c>
      <c r="E223" s="287"/>
      <c r="F223" s="287"/>
      <c r="G223" s="287"/>
      <c r="H223" s="287"/>
      <c r="I223" s="302"/>
      <c r="J223" s="303">
        <f t="shared" si="34"/>
        <v>0</v>
      </c>
      <c r="K223" s="294" t="s">
        <v>3555</v>
      </c>
      <c r="L223" s="44">
        <v>1</v>
      </c>
      <c r="M223" s="308" t="s">
        <v>1769</v>
      </c>
      <c r="N223" s="308"/>
      <c r="O223" s="308" t="s">
        <v>531</v>
      </c>
      <c r="P223" s="315" t="s">
        <v>3674</v>
      </c>
    </row>
    <row r="224" s="106" customFormat="1" ht="20.1" customHeight="1" spans="1:16">
      <c r="A224" s="279" t="s">
        <v>1771</v>
      </c>
      <c r="B224" s="286" t="s">
        <v>1772</v>
      </c>
      <c r="C224" s="287"/>
      <c r="D224" s="288">
        <f t="shared" si="31"/>
        <v>0</v>
      </c>
      <c r="E224" s="287"/>
      <c r="F224" s="287"/>
      <c r="G224" s="287"/>
      <c r="H224" s="287"/>
      <c r="I224" s="302"/>
      <c r="J224" s="303">
        <f t="shared" si="34"/>
        <v>0</v>
      </c>
      <c r="K224" s="294" t="s">
        <v>3555</v>
      </c>
      <c r="L224" s="44">
        <v>1</v>
      </c>
      <c r="M224" s="308" t="s">
        <v>1771</v>
      </c>
      <c r="N224" s="308"/>
      <c r="O224" s="308" t="s">
        <v>531</v>
      </c>
      <c r="P224" s="315" t="s">
        <v>3675</v>
      </c>
    </row>
    <row r="225" s="106" customFormat="1" ht="20.1" customHeight="1" spans="1:16">
      <c r="A225" s="279" t="s">
        <v>1773</v>
      </c>
      <c r="B225" s="688" t="s">
        <v>1774</v>
      </c>
      <c r="C225" s="287">
        <v>4</v>
      </c>
      <c r="D225" s="288">
        <f t="shared" si="31"/>
        <v>17</v>
      </c>
      <c r="E225" s="287">
        <v>10</v>
      </c>
      <c r="F225" s="287"/>
      <c r="G225" s="287">
        <v>7</v>
      </c>
      <c r="H225" s="287"/>
      <c r="I225" s="302"/>
      <c r="J225" s="303"/>
      <c r="K225" s="294" t="s">
        <v>3555</v>
      </c>
      <c r="L225" s="44">
        <v>1</v>
      </c>
      <c r="M225" s="308" t="s">
        <v>1773</v>
      </c>
      <c r="N225" s="308"/>
      <c r="O225" s="308" t="s">
        <v>531</v>
      </c>
      <c r="P225" s="315" t="s">
        <v>3676</v>
      </c>
    </row>
    <row r="226" s="106" customFormat="1" ht="20.1" customHeight="1" spans="1:16">
      <c r="A226" s="279" t="s">
        <v>1775</v>
      </c>
      <c r="B226" s="688" t="s">
        <v>1776</v>
      </c>
      <c r="C226" s="287">
        <v>58</v>
      </c>
      <c r="D226" s="288">
        <f t="shared" si="31"/>
        <v>47</v>
      </c>
      <c r="E226" s="287">
        <v>20</v>
      </c>
      <c r="F226" s="287"/>
      <c r="G226" s="287"/>
      <c r="H226" s="287"/>
      <c r="I226" s="302">
        <v>27</v>
      </c>
      <c r="J226" s="303"/>
      <c r="K226" s="294" t="s">
        <v>3555</v>
      </c>
      <c r="L226" s="44">
        <v>1</v>
      </c>
      <c r="M226" s="308" t="s">
        <v>1775</v>
      </c>
      <c r="N226" s="308"/>
      <c r="O226" s="308" t="s">
        <v>531</v>
      </c>
      <c r="P226" s="315" t="s">
        <v>3677</v>
      </c>
    </row>
    <row r="227" s="106" customFormat="1" ht="20.1" customHeight="1" spans="1:16">
      <c r="A227" s="279" t="s">
        <v>1777</v>
      </c>
      <c r="B227" s="286" t="s">
        <v>1476</v>
      </c>
      <c r="C227" s="287"/>
      <c r="D227" s="288">
        <f t="shared" si="31"/>
        <v>0</v>
      </c>
      <c r="E227" s="287"/>
      <c r="F227" s="287"/>
      <c r="G227" s="287"/>
      <c r="H227" s="287"/>
      <c r="I227" s="302"/>
      <c r="J227" s="303">
        <f t="shared" ref="J227:J240" si="36">ROUND(IF(C227=0,IF(D227=0,0,1),IF(D227=0,-1,D227/C227)),4)*100</f>
        <v>0</v>
      </c>
      <c r="K227" s="294" t="s">
        <v>3555</v>
      </c>
      <c r="L227" s="44">
        <v>1</v>
      </c>
      <c r="M227" s="308" t="s">
        <v>1777</v>
      </c>
      <c r="N227" s="308"/>
      <c r="O227" s="308" t="s">
        <v>531</v>
      </c>
      <c r="P227" s="315" t="s">
        <v>3565</v>
      </c>
    </row>
    <row r="228" s="106" customFormat="1" ht="20.1" customHeight="1" spans="1:16">
      <c r="A228" s="279" t="s">
        <v>1778</v>
      </c>
      <c r="B228" s="286" t="s">
        <v>1779</v>
      </c>
      <c r="C228" s="287">
        <v>132</v>
      </c>
      <c r="D228" s="288">
        <f t="shared" si="31"/>
        <v>46</v>
      </c>
      <c r="E228" s="287"/>
      <c r="F228" s="287"/>
      <c r="G228" s="287"/>
      <c r="H228" s="287"/>
      <c r="I228" s="302">
        <v>46</v>
      </c>
      <c r="J228" s="303">
        <f t="shared" si="36"/>
        <v>34.85</v>
      </c>
      <c r="K228" s="294" t="s">
        <v>3555</v>
      </c>
      <c r="L228" s="44">
        <v>1</v>
      </c>
      <c r="M228" s="308" t="s">
        <v>1778</v>
      </c>
      <c r="N228" s="308"/>
      <c r="O228" s="308" t="s">
        <v>531</v>
      </c>
      <c r="P228" s="315" t="s">
        <v>3678</v>
      </c>
    </row>
    <row r="229" s="107" customFormat="1" ht="20.1" customHeight="1" spans="1:16">
      <c r="A229" s="283" t="s">
        <v>532</v>
      </c>
      <c r="B229" s="284" t="s">
        <v>1780</v>
      </c>
      <c r="C229" s="285">
        <f t="shared" ref="C229:I229" si="37">SUM(C230:C235)</f>
        <v>151</v>
      </c>
      <c r="D229" s="285">
        <f t="shared" si="31"/>
        <v>216</v>
      </c>
      <c r="E229" s="285">
        <f t="shared" si="37"/>
        <v>0</v>
      </c>
      <c r="F229" s="285">
        <f t="shared" si="37"/>
        <v>5</v>
      </c>
      <c r="G229" s="285">
        <f t="shared" si="37"/>
        <v>5</v>
      </c>
      <c r="H229" s="285">
        <f t="shared" si="37"/>
        <v>0</v>
      </c>
      <c r="I229" s="285">
        <f t="shared" si="37"/>
        <v>206</v>
      </c>
      <c r="J229" s="299">
        <f t="shared" si="36"/>
        <v>143.05</v>
      </c>
      <c r="K229" s="300" t="s">
        <v>3551</v>
      </c>
      <c r="L229" s="301"/>
      <c r="M229" s="312" t="s">
        <v>532</v>
      </c>
      <c r="N229" s="312" t="s">
        <v>505</v>
      </c>
      <c r="O229" s="312" t="s">
        <v>532</v>
      </c>
      <c r="P229" s="313" t="s">
        <v>3679</v>
      </c>
    </row>
    <row r="230" s="106" customFormat="1" ht="20.1" customHeight="1" spans="1:16">
      <c r="A230" s="279" t="s">
        <v>1781</v>
      </c>
      <c r="B230" s="289" t="s">
        <v>1458</v>
      </c>
      <c r="C230" s="287">
        <v>150</v>
      </c>
      <c r="D230" s="288">
        <f t="shared" si="31"/>
        <v>197</v>
      </c>
      <c r="E230" s="287"/>
      <c r="F230" s="287"/>
      <c r="G230" s="287"/>
      <c r="H230" s="287"/>
      <c r="I230" s="302">
        <v>197</v>
      </c>
      <c r="J230" s="303">
        <f t="shared" si="36"/>
        <v>131.33</v>
      </c>
      <c r="K230" s="294" t="s">
        <v>3555</v>
      </c>
      <c r="L230" s="44">
        <v>1</v>
      </c>
      <c r="M230" s="308" t="s">
        <v>1781</v>
      </c>
      <c r="N230" s="308"/>
      <c r="O230" s="308" t="s">
        <v>532</v>
      </c>
      <c r="P230" s="316" t="s">
        <v>3556</v>
      </c>
    </row>
    <row r="231" s="106" customFormat="1" ht="20.1" customHeight="1" spans="1:16">
      <c r="A231" s="279" t="s">
        <v>1782</v>
      </c>
      <c r="B231" s="289" t="s">
        <v>1460</v>
      </c>
      <c r="C231" s="287"/>
      <c r="D231" s="288">
        <f t="shared" si="31"/>
        <v>5</v>
      </c>
      <c r="E231" s="287"/>
      <c r="F231" s="287"/>
      <c r="G231" s="287">
        <v>5</v>
      </c>
      <c r="H231" s="287"/>
      <c r="I231" s="302"/>
      <c r="J231" s="303">
        <f t="shared" si="36"/>
        <v>100</v>
      </c>
      <c r="K231" s="294" t="s">
        <v>3555</v>
      </c>
      <c r="L231" s="44">
        <v>1</v>
      </c>
      <c r="M231" s="308" t="s">
        <v>1782</v>
      </c>
      <c r="N231" s="308"/>
      <c r="O231" s="308" t="s">
        <v>532</v>
      </c>
      <c r="P231" s="316" t="s">
        <v>3557</v>
      </c>
    </row>
    <row r="232" s="106" customFormat="1" ht="20.1" customHeight="1" spans="1:16">
      <c r="A232" s="279" t="s">
        <v>1783</v>
      </c>
      <c r="B232" s="286" t="s">
        <v>1462</v>
      </c>
      <c r="C232" s="287"/>
      <c r="D232" s="288">
        <f t="shared" si="31"/>
        <v>0</v>
      </c>
      <c r="E232" s="287"/>
      <c r="F232" s="287"/>
      <c r="G232" s="287"/>
      <c r="H232" s="287"/>
      <c r="I232" s="302"/>
      <c r="J232" s="303">
        <f t="shared" si="36"/>
        <v>0</v>
      </c>
      <c r="K232" s="294" t="s">
        <v>3555</v>
      </c>
      <c r="L232" s="44">
        <v>1</v>
      </c>
      <c r="M232" s="308" t="s">
        <v>1783</v>
      </c>
      <c r="N232" s="308"/>
      <c r="O232" s="308" t="s">
        <v>532</v>
      </c>
      <c r="P232" s="315" t="s">
        <v>3558</v>
      </c>
    </row>
    <row r="233" s="106" customFormat="1" ht="20.1" customHeight="1" spans="1:17">
      <c r="A233" s="279" t="s">
        <v>1784</v>
      </c>
      <c r="B233" s="286" t="s">
        <v>1700</v>
      </c>
      <c r="C233" s="287">
        <v>1</v>
      </c>
      <c r="D233" s="288">
        <f t="shared" si="31"/>
        <v>5</v>
      </c>
      <c r="E233" s="287"/>
      <c r="F233" s="287">
        <v>5</v>
      </c>
      <c r="G233" s="287"/>
      <c r="H233" s="287"/>
      <c r="I233" s="302"/>
      <c r="J233" s="303">
        <f t="shared" si="36"/>
        <v>500</v>
      </c>
      <c r="K233" s="294" t="s">
        <v>3555</v>
      </c>
      <c r="L233" s="44">
        <v>1</v>
      </c>
      <c r="M233" s="308" t="s">
        <v>1784</v>
      </c>
      <c r="N233" s="308"/>
      <c r="O233" s="308" t="s">
        <v>532</v>
      </c>
      <c r="P233" s="315" t="s">
        <v>3650</v>
      </c>
      <c r="Q233" s="321" t="s">
        <v>1785</v>
      </c>
    </row>
    <row r="234" s="106" customFormat="1" ht="20.1" customHeight="1" spans="1:16">
      <c r="A234" s="279" t="s">
        <v>1786</v>
      </c>
      <c r="B234" s="286" t="s">
        <v>1476</v>
      </c>
      <c r="C234" s="287"/>
      <c r="D234" s="288">
        <f t="shared" si="31"/>
        <v>0</v>
      </c>
      <c r="E234" s="287"/>
      <c r="F234" s="287"/>
      <c r="G234" s="287"/>
      <c r="H234" s="287"/>
      <c r="I234" s="302"/>
      <c r="J234" s="303">
        <f t="shared" si="36"/>
        <v>0</v>
      </c>
      <c r="K234" s="294" t="s">
        <v>3555</v>
      </c>
      <c r="L234" s="44">
        <v>1</v>
      </c>
      <c r="M234" s="308" t="s">
        <v>1786</v>
      </c>
      <c r="N234" s="308"/>
      <c r="O234" s="308" t="s">
        <v>532</v>
      </c>
      <c r="P234" s="315" t="s">
        <v>3565</v>
      </c>
    </row>
    <row r="235" s="106" customFormat="1" ht="20.1" customHeight="1" spans="1:16">
      <c r="A235" s="279" t="s">
        <v>1787</v>
      </c>
      <c r="B235" s="286" t="s">
        <v>1788</v>
      </c>
      <c r="C235" s="287"/>
      <c r="D235" s="288">
        <f t="shared" si="31"/>
        <v>9</v>
      </c>
      <c r="E235" s="287"/>
      <c r="F235" s="287"/>
      <c r="G235" s="287"/>
      <c r="H235" s="287"/>
      <c r="I235" s="302">
        <v>9</v>
      </c>
      <c r="J235" s="303">
        <f t="shared" si="36"/>
        <v>100</v>
      </c>
      <c r="K235" s="294" t="s">
        <v>3555</v>
      </c>
      <c r="L235" s="44">
        <v>1</v>
      </c>
      <c r="M235" s="308" t="s">
        <v>1787</v>
      </c>
      <c r="N235" s="308"/>
      <c r="O235" s="308" t="s">
        <v>532</v>
      </c>
      <c r="P235" s="315" t="s">
        <v>3680</v>
      </c>
    </row>
    <row r="236" s="107" customFormat="1" ht="20.1" customHeight="1" spans="1:16">
      <c r="A236" s="283" t="s">
        <v>533</v>
      </c>
      <c r="B236" s="284" t="s">
        <v>1789</v>
      </c>
      <c r="C236" s="285">
        <f t="shared" ref="C236:I236" si="38">SUM(C237:C242)</f>
        <v>177</v>
      </c>
      <c r="D236" s="285">
        <f t="shared" si="31"/>
        <v>171</v>
      </c>
      <c r="E236" s="285">
        <f t="shared" si="38"/>
        <v>0</v>
      </c>
      <c r="F236" s="285">
        <f t="shared" si="38"/>
        <v>0</v>
      </c>
      <c r="G236" s="285">
        <f t="shared" si="38"/>
        <v>0</v>
      </c>
      <c r="H236" s="285">
        <f t="shared" si="38"/>
        <v>0</v>
      </c>
      <c r="I236" s="285">
        <f t="shared" si="38"/>
        <v>171</v>
      </c>
      <c r="J236" s="299">
        <f t="shared" si="36"/>
        <v>96.61</v>
      </c>
      <c r="K236" s="300" t="s">
        <v>3551</v>
      </c>
      <c r="L236" s="301"/>
      <c r="M236" s="312" t="s">
        <v>533</v>
      </c>
      <c r="N236" s="312" t="s">
        <v>505</v>
      </c>
      <c r="O236" s="312" t="s">
        <v>533</v>
      </c>
      <c r="P236" s="313" t="s">
        <v>3681</v>
      </c>
    </row>
    <row r="237" s="106" customFormat="1" ht="20.1" customHeight="1" spans="1:16">
      <c r="A237" s="279" t="s">
        <v>1790</v>
      </c>
      <c r="B237" s="289" t="s">
        <v>1458</v>
      </c>
      <c r="C237" s="287">
        <v>147</v>
      </c>
      <c r="D237" s="288">
        <f t="shared" si="31"/>
        <v>142</v>
      </c>
      <c r="E237" s="287"/>
      <c r="F237" s="287"/>
      <c r="G237" s="287"/>
      <c r="H237" s="287"/>
      <c r="I237" s="302">
        <v>142</v>
      </c>
      <c r="J237" s="303">
        <f t="shared" si="36"/>
        <v>96.6</v>
      </c>
      <c r="K237" s="294" t="s">
        <v>3555</v>
      </c>
      <c r="L237" s="44">
        <v>1</v>
      </c>
      <c r="M237" s="308" t="s">
        <v>1790</v>
      </c>
      <c r="N237" s="308"/>
      <c r="O237" s="308" t="s">
        <v>533</v>
      </c>
      <c r="P237" s="314" t="s">
        <v>3556</v>
      </c>
    </row>
    <row r="238" s="106" customFormat="1" ht="20.1" customHeight="1" spans="1:16">
      <c r="A238" s="279" t="s">
        <v>1791</v>
      </c>
      <c r="B238" s="289" t="s">
        <v>1460</v>
      </c>
      <c r="C238" s="287"/>
      <c r="D238" s="288">
        <f t="shared" si="31"/>
        <v>0</v>
      </c>
      <c r="E238" s="287"/>
      <c r="F238" s="287"/>
      <c r="G238" s="287"/>
      <c r="H238" s="287"/>
      <c r="I238" s="302"/>
      <c r="J238" s="303">
        <f t="shared" si="36"/>
        <v>0</v>
      </c>
      <c r="K238" s="294" t="s">
        <v>3555</v>
      </c>
      <c r="L238" s="44">
        <v>1</v>
      </c>
      <c r="M238" s="308" t="s">
        <v>1791</v>
      </c>
      <c r="N238" s="308"/>
      <c r="O238" s="308" t="s">
        <v>533</v>
      </c>
      <c r="P238" s="314" t="s">
        <v>3557</v>
      </c>
    </row>
    <row r="239" s="106" customFormat="1" ht="20.1" customHeight="1" spans="1:16">
      <c r="A239" s="279" t="s">
        <v>1792</v>
      </c>
      <c r="B239" s="286" t="s">
        <v>1462</v>
      </c>
      <c r="C239" s="287"/>
      <c r="D239" s="288">
        <f t="shared" si="31"/>
        <v>0</v>
      </c>
      <c r="E239" s="287"/>
      <c r="F239" s="287"/>
      <c r="G239" s="287"/>
      <c r="H239" s="287"/>
      <c r="I239" s="302"/>
      <c r="J239" s="303">
        <f t="shared" si="36"/>
        <v>0</v>
      </c>
      <c r="K239" s="294" t="s">
        <v>3555</v>
      </c>
      <c r="L239" s="44">
        <v>1</v>
      </c>
      <c r="M239" s="308" t="s">
        <v>1792</v>
      </c>
      <c r="N239" s="308"/>
      <c r="O239" s="308" t="s">
        <v>533</v>
      </c>
      <c r="P239" s="314" t="s">
        <v>3558</v>
      </c>
    </row>
    <row r="240" s="106" customFormat="1" ht="20.1" customHeight="1" spans="1:16">
      <c r="A240" s="279" t="s">
        <v>1793</v>
      </c>
      <c r="B240" s="286" t="s">
        <v>1794</v>
      </c>
      <c r="C240" s="287">
        <v>30</v>
      </c>
      <c r="D240" s="288">
        <f t="shared" si="31"/>
        <v>29</v>
      </c>
      <c r="E240" s="287"/>
      <c r="F240" s="287"/>
      <c r="G240" s="287"/>
      <c r="H240" s="287"/>
      <c r="I240" s="302">
        <v>29</v>
      </c>
      <c r="J240" s="303">
        <f t="shared" si="36"/>
        <v>96.67</v>
      </c>
      <c r="K240" s="294" t="s">
        <v>3555</v>
      </c>
      <c r="L240" s="44">
        <v>1</v>
      </c>
      <c r="M240" s="308" t="s">
        <v>1793</v>
      </c>
      <c r="N240" s="308"/>
      <c r="O240" s="308" t="s">
        <v>533</v>
      </c>
      <c r="P240" s="314" t="s">
        <v>3682</v>
      </c>
    </row>
    <row r="241" s="106" customFormat="1" ht="20.1" customHeight="1" spans="1:16">
      <c r="A241" s="279" t="s">
        <v>1795</v>
      </c>
      <c r="B241" s="286" t="s">
        <v>1476</v>
      </c>
      <c r="C241" s="287"/>
      <c r="D241" s="288"/>
      <c r="E241" s="287"/>
      <c r="F241" s="287"/>
      <c r="G241" s="287"/>
      <c r="H241" s="287"/>
      <c r="I241" s="302"/>
      <c r="J241" s="303"/>
      <c r="K241" s="294" t="s">
        <v>3555</v>
      </c>
      <c r="L241" s="44">
        <v>1</v>
      </c>
      <c r="M241" s="308" t="s">
        <v>1795</v>
      </c>
      <c r="N241" s="308"/>
      <c r="O241" s="308" t="s">
        <v>533</v>
      </c>
      <c r="P241" s="314" t="s">
        <v>3565</v>
      </c>
    </row>
    <row r="242" s="106" customFormat="1" ht="20.1" customHeight="1" spans="1:16">
      <c r="A242" s="279" t="s">
        <v>1796</v>
      </c>
      <c r="B242" s="286" t="s">
        <v>1797</v>
      </c>
      <c r="C242" s="287"/>
      <c r="D242" s="288">
        <f t="shared" ref="D242:D305" si="39">SUM(E242:I242)</f>
        <v>0</v>
      </c>
      <c r="E242" s="287"/>
      <c r="F242" s="287"/>
      <c r="G242" s="287"/>
      <c r="H242" s="287"/>
      <c r="I242" s="302"/>
      <c r="J242" s="303">
        <f>ROUND(IF(C242=0,IF(D242=0,0,1),IF(D242=0,-1,D242/C242)),4)*100</f>
        <v>0</v>
      </c>
      <c r="K242" s="294" t="s">
        <v>3555</v>
      </c>
      <c r="L242" s="44">
        <v>1</v>
      </c>
      <c r="M242" s="308" t="s">
        <v>1796</v>
      </c>
      <c r="N242" s="308"/>
      <c r="O242" s="308" t="s">
        <v>533</v>
      </c>
      <c r="P242" s="314" t="s">
        <v>3683</v>
      </c>
    </row>
    <row r="243" s="107" customFormat="1" ht="20.1" customHeight="1" spans="1:16">
      <c r="A243" s="283" t="s">
        <v>534</v>
      </c>
      <c r="B243" s="284" t="s">
        <v>1798</v>
      </c>
      <c r="C243" s="285">
        <f t="shared" ref="C243:I243" si="40">SUM(C244:C248)</f>
        <v>0</v>
      </c>
      <c r="D243" s="285">
        <f t="shared" si="39"/>
        <v>0</v>
      </c>
      <c r="E243" s="285">
        <f t="shared" si="40"/>
        <v>0</v>
      </c>
      <c r="F243" s="285">
        <f t="shared" si="40"/>
        <v>0</v>
      </c>
      <c r="G243" s="285">
        <f t="shared" si="40"/>
        <v>0</v>
      </c>
      <c r="H243" s="285">
        <f t="shared" si="40"/>
        <v>0</v>
      </c>
      <c r="I243" s="285">
        <f t="shared" si="40"/>
        <v>0</v>
      </c>
      <c r="J243" s="299"/>
      <c r="K243" s="300" t="s">
        <v>3551</v>
      </c>
      <c r="L243" s="301"/>
      <c r="M243" s="312" t="s">
        <v>534</v>
      </c>
      <c r="N243" s="312" t="s">
        <v>505</v>
      </c>
      <c r="O243" s="312" t="s">
        <v>534</v>
      </c>
      <c r="P243" s="313" t="s">
        <v>3684</v>
      </c>
    </row>
    <row r="244" s="106" customFormat="1" ht="20.1" customHeight="1" spans="1:16">
      <c r="A244" s="279" t="s">
        <v>1799</v>
      </c>
      <c r="B244" s="289" t="s">
        <v>1458</v>
      </c>
      <c r="C244" s="287"/>
      <c r="D244" s="288">
        <f t="shared" si="39"/>
        <v>0</v>
      </c>
      <c r="E244" s="287"/>
      <c r="F244" s="287"/>
      <c r="G244" s="287"/>
      <c r="H244" s="287"/>
      <c r="I244" s="302"/>
      <c r="J244" s="303"/>
      <c r="K244" s="294" t="s">
        <v>3555</v>
      </c>
      <c r="L244" s="44">
        <v>1</v>
      </c>
      <c r="M244" s="308" t="s">
        <v>1799</v>
      </c>
      <c r="N244" s="308"/>
      <c r="O244" s="308" t="s">
        <v>534</v>
      </c>
      <c r="P244" s="314" t="s">
        <v>3556</v>
      </c>
    </row>
    <row r="245" s="106" customFormat="1" ht="20.1" customHeight="1" spans="1:16">
      <c r="A245" s="279" t="s">
        <v>1800</v>
      </c>
      <c r="B245" s="289" t="s">
        <v>1460</v>
      </c>
      <c r="C245" s="287"/>
      <c r="D245" s="288">
        <f t="shared" si="39"/>
        <v>0</v>
      </c>
      <c r="E245" s="287"/>
      <c r="F245" s="287"/>
      <c r="G245" s="287"/>
      <c r="H245" s="287"/>
      <c r="I245" s="302"/>
      <c r="J245" s="303"/>
      <c r="K245" s="294" t="s">
        <v>3555</v>
      </c>
      <c r="L245" s="44">
        <v>1</v>
      </c>
      <c r="M245" s="308" t="s">
        <v>1800</v>
      </c>
      <c r="N245" s="308"/>
      <c r="O245" s="308" t="s">
        <v>534</v>
      </c>
      <c r="P245" s="314" t="s">
        <v>3557</v>
      </c>
    </row>
    <row r="246" s="106" customFormat="1" ht="20.1" customHeight="1" spans="1:16">
      <c r="A246" s="279" t="s">
        <v>1801</v>
      </c>
      <c r="B246" s="286" t="s">
        <v>1462</v>
      </c>
      <c r="C246" s="287"/>
      <c r="D246" s="288">
        <f t="shared" si="39"/>
        <v>0</v>
      </c>
      <c r="E246" s="287"/>
      <c r="F246" s="287"/>
      <c r="G246" s="287"/>
      <c r="H246" s="287"/>
      <c r="I246" s="302"/>
      <c r="J246" s="303"/>
      <c r="K246" s="294" t="s">
        <v>3555</v>
      </c>
      <c r="L246" s="44">
        <v>1</v>
      </c>
      <c r="M246" s="308" t="s">
        <v>1801</v>
      </c>
      <c r="N246" s="308"/>
      <c r="O246" s="308" t="s">
        <v>534</v>
      </c>
      <c r="P246" s="314" t="s">
        <v>3558</v>
      </c>
    </row>
    <row r="247" s="106" customFormat="1" ht="20.1" customHeight="1" spans="1:16">
      <c r="A247" s="279" t="s">
        <v>1802</v>
      </c>
      <c r="B247" s="286" t="s">
        <v>1476</v>
      </c>
      <c r="C247" s="287"/>
      <c r="D247" s="288">
        <f t="shared" si="39"/>
        <v>0</v>
      </c>
      <c r="E247" s="287"/>
      <c r="F247" s="287"/>
      <c r="G247" s="287"/>
      <c r="H247" s="287"/>
      <c r="I247" s="302"/>
      <c r="J247" s="303"/>
      <c r="K247" s="294" t="s">
        <v>3555</v>
      </c>
      <c r="L247" s="44">
        <v>1</v>
      </c>
      <c r="M247" s="308" t="s">
        <v>1802</v>
      </c>
      <c r="N247" s="308"/>
      <c r="O247" s="308" t="s">
        <v>534</v>
      </c>
      <c r="P247" s="314" t="s">
        <v>3565</v>
      </c>
    </row>
    <row r="248" s="106" customFormat="1" ht="20.1" customHeight="1" spans="1:16">
      <c r="A248" s="279" t="s">
        <v>1803</v>
      </c>
      <c r="B248" s="286" t="s">
        <v>1804</v>
      </c>
      <c r="C248" s="287"/>
      <c r="D248" s="288">
        <f t="shared" si="39"/>
        <v>0</v>
      </c>
      <c r="E248" s="287"/>
      <c r="F248" s="287"/>
      <c r="G248" s="287"/>
      <c r="H248" s="287"/>
      <c r="I248" s="302"/>
      <c r="J248" s="303"/>
      <c r="K248" s="294" t="s">
        <v>3555</v>
      </c>
      <c r="L248" s="44">
        <v>1</v>
      </c>
      <c r="M248" s="308" t="s">
        <v>1803</v>
      </c>
      <c r="N248" s="308"/>
      <c r="O248" s="308" t="s">
        <v>534</v>
      </c>
      <c r="P248" s="314" t="s">
        <v>3685</v>
      </c>
    </row>
    <row r="249" s="107" customFormat="1" ht="20.1" customHeight="1" spans="1:16">
      <c r="A249" s="283" t="s">
        <v>535</v>
      </c>
      <c r="B249" s="284" t="s">
        <v>1805</v>
      </c>
      <c r="C249" s="285">
        <f t="shared" ref="C249:I249" si="41">SUM(C250:C251)</f>
        <v>1014</v>
      </c>
      <c r="D249" s="285">
        <f t="shared" si="39"/>
        <v>5209</v>
      </c>
      <c r="E249" s="285">
        <f t="shared" si="41"/>
        <v>0</v>
      </c>
      <c r="F249" s="285">
        <f t="shared" si="41"/>
        <v>0</v>
      </c>
      <c r="G249" s="285">
        <f t="shared" si="41"/>
        <v>0</v>
      </c>
      <c r="H249" s="285">
        <f t="shared" si="41"/>
        <v>4964</v>
      </c>
      <c r="I249" s="285">
        <f t="shared" si="41"/>
        <v>245</v>
      </c>
      <c r="J249" s="299">
        <f t="shared" ref="J249:J252" si="42">ROUND(IF(C249=0,IF(D249=0,0,1),IF(D249=0,-1,D249/C249)),4)*100</f>
        <v>513.71</v>
      </c>
      <c r="K249" s="300" t="s">
        <v>3551</v>
      </c>
      <c r="L249" s="301"/>
      <c r="M249" s="312" t="s">
        <v>535</v>
      </c>
      <c r="N249" s="312" t="s">
        <v>505</v>
      </c>
      <c r="O249" s="312" t="s">
        <v>535</v>
      </c>
      <c r="P249" s="313" t="s">
        <v>3686</v>
      </c>
    </row>
    <row r="250" s="106" customFormat="1" ht="20.1" customHeight="1" spans="1:16">
      <c r="A250" s="279" t="s">
        <v>1806</v>
      </c>
      <c r="B250" s="289" t="s">
        <v>1807</v>
      </c>
      <c r="C250" s="287">
        <v>0</v>
      </c>
      <c r="D250" s="288">
        <f t="shared" si="39"/>
        <v>0</v>
      </c>
      <c r="E250" s="287"/>
      <c r="F250" s="287"/>
      <c r="G250" s="287"/>
      <c r="H250" s="287"/>
      <c r="I250" s="302"/>
      <c r="J250" s="303">
        <f t="shared" si="42"/>
        <v>0</v>
      </c>
      <c r="K250" s="294" t="s">
        <v>3555</v>
      </c>
      <c r="L250" s="44">
        <v>1</v>
      </c>
      <c r="M250" s="308" t="s">
        <v>1806</v>
      </c>
      <c r="N250" s="308"/>
      <c r="O250" s="308" t="s">
        <v>535</v>
      </c>
      <c r="P250" s="309" t="s">
        <v>3687</v>
      </c>
    </row>
    <row r="251" s="106" customFormat="1" ht="20.1" customHeight="1" spans="1:16">
      <c r="A251" s="279" t="s">
        <v>1808</v>
      </c>
      <c r="B251" s="289" t="s">
        <v>1809</v>
      </c>
      <c r="C251" s="287">
        <v>1014</v>
      </c>
      <c r="D251" s="288">
        <f t="shared" si="39"/>
        <v>5209</v>
      </c>
      <c r="E251" s="287"/>
      <c r="F251" s="287"/>
      <c r="G251" s="287"/>
      <c r="H251" s="287">
        <f>2464+2500</f>
        <v>4964</v>
      </c>
      <c r="I251" s="302">
        <v>245</v>
      </c>
      <c r="J251" s="303">
        <f t="shared" si="42"/>
        <v>513.71</v>
      </c>
      <c r="K251" s="294" t="s">
        <v>3555</v>
      </c>
      <c r="L251" s="44">
        <v>1</v>
      </c>
      <c r="M251" s="308" t="s">
        <v>1808</v>
      </c>
      <c r="N251" s="308"/>
      <c r="O251" s="308" t="s">
        <v>535</v>
      </c>
      <c r="P251" s="309" t="s">
        <v>3686</v>
      </c>
    </row>
    <row r="252" s="107" customFormat="1" ht="20.1" customHeight="1" spans="1:16">
      <c r="A252" s="280" t="s">
        <v>536</v>
      </c>
      <c r="B252" s="281" t="s">
        <v>537</v>
      </c>
      <c r="C252" s="282">
        <f t="shared" ref="C252:I252" si="43">C253+C260+C263+C266+C272+C277+C279+C284+C290</f>
        <v>0</v>
      </c>
      <c r="D252" s="282">
        <f t="shared" si="39"/>
        <v>0</v>
      </c>
      <c r="E252" s="282">
        <f t="shared" si="43"/>
        <v>0</v>
      </c>
      <c r="F252" s="282">
        <f t="shared" si="43"/>
        <v>0</v>
      </c>
      <c r="G252" s="282">
        <f t="shared" si="43"/>
        <v>0</v>
      </c>
      <c r="H252" s="282">
        <f t="shared" si="43"/>
        <v>0</v>
      </c>
      <c r="I252" s="282">
        <f t="shared" si="43"/>
        <v>0</v>
      </c>
      <c r="J252" s="296">
        <f t="shared" si="42"/>
        <v>0</v>
      </c>
      <c r="K252" s="297" t="s">
        <v>3550</v>
      </c>
      <c r="L252" s="298"/>
      <c r="M252" s="310" t="s">
        <v>536</v>
      </c>
      <c r="N252" s="310" t="s">
        <v>536</v>
      </c>
      <c r="O252" s="310" t="s">
        <v>536</v>
      </c>
      <c r="P252" s="311" t="s">
        <v>3688</v>
      </c>
    </row>
    <row r="253" s="107" customFormat="1" ht="20.1" customHeight="1" spans="1:16">
      <c r="A253" s="283" t="s">
        <v>538</v>
      </c>
      <c r="B253" s="284" t="s">
        <v>1810</v>
      </c>
      <c r="C253" s="285">
        <f t="shared" ref="C253:I253" si="44">SUM(C254:C259)</f>
        <v>0</v>
      </c>
      <c r="D253" s="285">
        <f t="shared" si="39"/>
        <v>0</v>
      </c>
      <c r="E253" s="285">
        <f t="shared" si="44"/>
        <v>0</v>
      </c>
      <c r="F253" s="285">
        <f t="shared" si="44"/>
        <v>0</v>
      </c>
      <c r="G253" s="285">
        <f t="shared" si="44"/>
        <v>0</v>
      </c>
      <c r="H253" s="285">
        <f t="shared" si="44"/>
        <v>0</v>
      </c>
      <c r="I253" s="285">
        <f t="shared" si="44"/>
        <v>0</v>
      </c>
      <c r="J253" s="299"/>
      <c r="K253" s="300" t="s">
        <v>3551</v>
      </c>
      <c r="L253" s="301"/>
      <c r="M253" s="312" t="s">
        <v>538</v>
      </c>
      <c r="N253" s="312" t="s">
        <v>536</v>
      </c>
      <c r="O253" s="312" t="s">
        <v>538</v>
      </c>
      <c r="P253" s="319" t="s">
        <v>3689</v>
      </c>
    </row>
    <row r="254" s="107" customFormat="1" ht="20.1" customHeight="1" spans="1:16">
      <c r="A254" s="279" t="s">
        <v>1811</v>
      </c>
      <c r="B254" s="289" t="s">
        <v>1458</v>
      </c>
      <c r="C254" s="288"/>
      <c r="D254" s="288">
        <f t="shared" si="39"/>
        <v>0</v>
      </c>
      <c r="E254" s="288"/>
      <c r="F254" s="288"/>
      <c r="G254" s="288"/>
      <c r="H254" s="288"/>
      <c r="I254" s="288"/>
      <c r="J254" s="318"/>
      <c r="K254" s="294" t="s">
        <v>3555</v>
      </c>
      <c r="L254" s="44">
        <v>1</v>
      </c>
      <c r="M254" s="308" t="s">
        <v>1811</v>
      </c>
      <c r="N254" s="320"/>
      <c r="O254" s="308" t="s">
        <v>538</v>
      </c>
      <c r="P254" s="316" t="s">
        <v>3556</v>
      </c>
    </row>
    <row r="255" s="107" customFormat="1" ht="20.1" customHeight="1" spans="1:16">
      <c r="A255" s="279" t="s">
        <v>1812</v>
      </c>
      <c r="B255" s="289" t="s">
        <v>1460</v>
      </c>
      <c r="C255" s="288"/>
      <c r="D255" s="288">
        <f t="shared" si="39"/>
        <v>0</v>
      </c>
      <c r="E255" s="288"/>
      <c r="F255" s="288"/>
      <c r="G255" s="288"/>
      <c r="H255" s="288"/>
      <c r="I255" s="288"/>
      <c r="J255" s="318"/>
      <c r="K255" s="294" t="s">
        <v>3555</v>
      </c>
      <c r="L255" s="44">
        <v>1</v>
      </c>
      <c r="M255" s="308" t="s">
        <v>1812</v>
      </c>
      <c r="N255" s="320"/>
      <c r="O255" s="308" t="s">
        <v>538</v>
      </c>
      <c r="P255" s="316" t="s">
        <v>3557</v>
      </c>
    </row>
    <row r="256" s="107" customFormat="1" ht="20.1" customHeight="1" spans="1:16">
      <c r="A256" s="279" t="s">
        <v>1813</v>
      </c>
      <c r="B256" s="286" t="s">
        <v>1462</v>
      </c>
      <c r="C256" s="288"/>
      <c r="D256" s="288">
        <f t="shared" si="39"/>
        <v>0</v>
      </c>
      <c r="E256" s="288"/>
      <c r="F256" s="288"/>
      <c r="G256" s="288"/>
      <c r="H256" s="288"/>
      <c r="I256" s="288"/>
      <c r="J256" s="318"/>
      <c r="K256" s="294" t="s">
        <v>3555</v>
      </c>
      <c r="L256" s="44">
        <v>1</v>
      </c>
      <c r="M256" s="308" t="s">
        <v>1813</v>
      </c>
      <c r="N256" s="320"/>
      <c r="O256" s="308" t="s">
        <v>538</v>
      </c>
      <c r="P256" s="315" t="s">
        <v>3558</v>
      </c>
    </row>
    <row r="257" s="107" customFormat="1" ht="20.1" customHeight="1" spans="1:16">
      <c r="A257" s="279" t="s">
        <v>1814</v>
      </c>
      <c r="B257" s="286" t="s">
        <v>1700</v>
      </c>
      <c r="C257" s="288"/>
      <c r="D257" s="288">
        <f t="shared" si="39"/>
        <v>0</v>
      </c>
      <c r="E257" s="288"/>
      <c r="F257" s="288"/>
      <c r="G257" s="288"/>
      <c r="H257" s="288"/>
      <c r="I257" s="288"/>
      <c r="J257" s="318"/>
      <c r="K257" s="294" t="s">
        <v>3555</v>
      </c>
      <c r="L257" s="44">
        <v>1</v>
      </c>
      <c r="M257" s="308" t="s">
        <v>1814</v>
      </c>
      <c r="N257" s="320"/>
      <c r="O257" s="308" t="s">
        <v>538</v>
      </c>
      <c r="P257" s="315" t="s">
        <v>3650</v>
      </c>
    </row>
    <row r="258" s="107" customFormat="1" ht="20.1" customHeight="1" spans="1:16">
      <c r="A258" s="279" t="s">
        <v>1815</v>
      </c>
      <c r="B258" s="286" t="s">
        <v>1476</v>
      </c>
      <c r="C258" s="288"/>
      <c r="D258" s="288">
        <f t="shared" si="39"/>
        <v>0</v>
      </c>
      <c r="E258" s="288"/>
      <c r="F258" s="288"/>
      <c r="G258" s="288"/>
      <c r="H258" s="288"/>
      <c r="I258" s="288"/>
      <c r="J258" s="318"/>
      <c r="K258" s="294" t="s">
        <v>3555</v>
      </c>
      <c r="L258" s="44">
        <v>1</v>
      </c>
      <c r="M258" s="308" t="s">
        <v>1815</v>
      </c>
      <c r="N258" s="320"/>
      <c r="O258" s="308" t="s">
        <v>538</v>
      </c>
      <c r="P258" s="315" t="s">
        <v>3565</v>
      </c>
    </row>
    <row r="259" s="107" customFormat="1" ht="20.1" customHeight="1" spans="1:16">
      <c r="A259" s="279" t="s">
        <v>1816</v>
      </c>
      <c r="B259" s="286" t="s">
        <v>1817</v>
      </c>
      <c r="C259" s="288"/>
      <c r="D259" s="288">
        <f t="shared" si="39"/>
        <v>0</v>
      </c>
      <c r="E259" s="288"/>
      <c r="F259" s="288"/>
      <c r="G259" s="288"/>
      <c r="H259" s="288"/>
      <c r="I259" s="288"/>
      <c r="J259" s="318"/>
      <c r="K259" s="294" t="s">
        <v>3555</v>
      </c>
      <c r="L259" s="44">
        <v>1</v>
      </c>
      <c r="M259" s="308" t="s">
        <v>1816</v>
      </c>
      <c r="N259" s="320"/>
      <c r="O259" s="308" t="s">
        <v>538</v>
      </c>
      <c r="P259" s="315" t="s">
        <v>3690</v>
      </c>
    </row>
    <row r="260" s="107" customFormat="1" ht="20.1" customHeight="1" spans="1:16">
      <c r="A260" s="283" t="s">
        <v>539</v>
      </c>
      <c r="B260" s="284" t="s">
        <v>1818</v>
      </c>
      <c r="C260" s="285">
        <f t="shared" ref="C260:I260" si="45">SUM(C261:C262)</f>
        <v>0</v>
      </c>
      <c r="D260" s="285">
        <f t="shared" si="39"/>
        <v>0</v>
      </c>
      <c r="E260" s="285">
        <f t="shared" si="45"/>
        <v>0</v>
      </c>
      <c r="F260" s="285">
        <f t="shared" si="45"/>
        <v>0</v>
      </c>
      <c r="G260" s="285">
        <f t="shared" si="45"/>
        <v>0</v>
      </c>
      <c r="H260" s="285">
        <f t="shared" si="45"/>
        <v>0</v>
      </c>
      <c r="I260" s="285">
        <f t="shared" si="45"/>
        <v>0</v>
      </c>
      <c r="J260" s="299"/>
      <c r="K260" s="300" t="s">
        <v>3551</v>
      </c>
      <c r="L260" s="301"/>
      <c r="M260" s="312" t="s">
        <v>539</v>
      </c>
      <c r="N260" s="312" t="s">
        <v>536</v>
      </c>
      <c r="O260" s="312" t="s">
        <v>539</v>
      </c>
      <c r="P260" s="319" t="s">
        <v>3691</v>
      </c>
    </row>
    <row r="261" s="107" customFormat="1" ht="20.1" customHeight="1" spans="1:16">
      <c r="A261" s="279" t="s">
        <v>1819</v>
      </c>
      <c r="B261" s="289" t="s">
        <v>1820</v>
      </c>
      <c r="C261" s="288"/>
      <c r="D261" s="288">
        <f t="shared" si="39"/>
        <v>0</v>
      </c>
      <c r="E261" s="288"/>
      <c r="F261" s="288"/>
      <c r="G261" s="288"/>
      <c r="H261" s="288"/>
      <c r="I261" s="288"/>
      <c r="J261" s="318"/>
      <c r="K261" s="294" t="s">
        <v>3555</v>
      </c>
      <c r="L261" s="44">
        <v>1</v>
      </c>
      <c r="M261" s="308" t="s">
        <v>1819</v>
      </c>
      <c r="N261" s="320"/>
      <c r="O261" s="308" t="s">
        <v>539</v>
      </c>
      <c r="P261" s="316" t="s">
        <v>3692</v>
      </c>
    </row>
    <row r="262" s="107" customFormat="1" ht="20.1" customHeight="1" spans="1:16">
      <c r="A262" s="279" t="s">
        <v>1821</v>
      </c>
      <c r="B262" s="289" t="s">
        <v>1822</v>
      </c>
      <c r="C262" s="288"/>
      <c r="D262" s="288">
        <f t="shared" si="39"/>
        <v>0</v>
      </c>
      <c r="E262" s="288"/>
      <c r="F262" s="288"/>
      <c r="G262" s="288"/>
      <c r="H262" s="288"/>
      <c r="I262" s="288"/>
      <c r="J262" s="318"/>
      <c r="K262" s="294" t="s">
        <v>3555</v>
      </c>
      <c r="L262" s="44">
        <v>1</v>
      </c>
      <c r="M262" s="308" t="s">
        <v>1821</v>
      </c>
      <c r="N262" s="320"/>
      <c r="O262" s="308" t="s">
        <v>539</v>
      </c>
      <c r="P262" s="316" t="s">
        <v>3693</v>
      </c>
    </row>
    <row r="263" s="107" customFormat="1" ht="20.1" customHeight="1" spans="1:16">
      <c r="A263" s="283" t="s">
        <v>540</v>
      </c>
      <c r="B263" s="284" t="s">
        <v>1823</v>
      </c>
      <c r="C263" s="285">
        <f t="shared" ref="C263:I263" si="46">SUM(C264:C265)</f>
        <v>0</v>
      </c>
      <c r="D263" s="285">
        <f t="shared" si="39"/>
        <v>0</v>
      </c>
      <c r="E263" s="285">
        <f t="shared" si="46"/>
        <v>0</v>
      </c>
      <c r="F263" s="285">
        <f t="shared" si="46"/>
        <v>0</v>
      </c>
      <c r="G263" s="285">
        <f t="shared" si="46"/>
        <v>0</v>
      </c>
      <c r="H263" s="285">
        <f t="shared" si="46"/>
        <v>0</v>
      </c>
      <c r="I263" s="285">
        <f t="shared" si="46"/>
        <v>0</v>
      </c>
      <c r="J263" s="299"/>
      <c r="K263" s="300" t="s">
        <v>3551</v>
      </c>
      <c r="L263" s="301"/>
      <c r="M263" s="312" t="s">
        <v>540</v>
      </c>
      <c r="N263" s="312" t="s">
        <v>536</v>
      </c>
      <c r="O263" s="312" t="s">
        <v>540</v>
      </c>
      <c r="P263" s="319" t="s">
        <v>3691</v>
      </c>
    </row>
    <row r="264" s="107" customFormat="1" ht="20.1" customHeight="1" spans="1:16">
      <c r="A264" s="279" t="s">
        <v>1824</v>
      </c>
      <c r="B264" s="289" t="s">
        <v>1825</v>
      </c>
      <c r="C264" s="288"/>
      <c r="D264" s="288">
        <f t="shared" si="39"/>
        <v>0</v>
      </c>
      <c r="E264" s="288"/>
      <c r="F264" s="288"/>
      <c r="G264" s="288"/>
      <c r="H264" s="288"/>
      <c r="I264" s="288"/>
      <c r="J264" s="318"/>
      <c r="K264" s="294" t="s">
        <v>3555</v>
      </c>
      <c r="L264" s="44">
        <v>1</v>
      </c>
      <c r="M264" s="308" t="s">
        <v>1824</v>
      </c>
      <c r="N264" s="320"/>
      <c r="O264" s="308" t="s">
        <v>540</v>
      </c>
      <c r="P264" s="316" t="s">
        <v>3694</v>
      </c>
    </row>
    <row r="265" s="107" customFormat="1" ht="20.1" customHeight="1" spans="1:16">
      <c r="A265" s="279" t="s">
        <v>1826</v>
      </c>
      <c r="B265" s="289" t="s">
        <v>1827</v>
      </c>
      <c r="C265" s="288"/>
      <c r="D265" s="288">
        <f t="shared" si="39"/>
        <v>0</v>
      </c>
      <c r="E265" s="288"/>
      <c r="F265" s="288"/>
      <c r="G265" s="288"/>
      <c r="H265" s="288"/>
      <c r="I265" s="288"/>
      <c r="J265" s="318"/>
      <c r="K265" s="294" t="s">
        <v>3555</v>
      </c>
      <c r="L265" s="44">
        <v>1</v>
      </c>
      <c r="M265" s="308" t="s">
        <v>1826</v>
      </c>
      <c r="N265" s="320"/>
      <c r="O265" s="308" t="s">
        <v>540</v>
      </c>
      <c r="P265" s="316" t="s">
        <v>3695</v>
      </c>
    </row>
    <row r="266" s="107" customFormat="1" ht="20.1" customHeight="1" spans="1:16">
      <c r="A266" s="283" t="s">
        <v>541</v>
      </c>
      <c r="B266" s="284" t="s">
        <v>1828</v>
      </c>
      <c r="C266" s="285">
        <f t="shared" ref="C266:I266" si="47">SUM(C267:C271)</f>
        <v>0</v>
      </c>
      <c r="D266" s="285">
        <f t="shared" si="39"/>
        <v>0</v>
      </c>
      <c r="E266" s="285">
        <f t="shared" si="47"/>
        <v>0</v>
      </c>
      <c r="F266" s="285">
        <f t="shared" si="47"/>
        <v>0</v>
      </c>
      <c r="G266" s="285">
        <f t="shared" si="47"/>
        <v>0</v>
      </c>
      <c r="H266" s="285">
        <f t="shared" si="47"/>
        <v>0</v>
      </c>
      <c r="I266" s="285">
        <f t="shared" si="47"/>
        <v>0</v>
      </c>
      <c r="J266" s="299"/>
      <c r="K266" s="300" t="s">
        <v>3551</v>
      </c>
      <c r="L266" s="301"/>
      <c r="M266" s="312" t="s">
        <v>541</v>
      </c>
      <c r="N266" s="312" t="s">
        <v>536</v>
      </c>
      <c r="O266" s="312" t="s">
        <v>541</v>
      </c>
      <c r="P266" s="319" t="s">
        <v>3689</v>
      </c>
    </row>
    <row r="267" s="107" customFormat="1" ht="20.1" customHeight="1" spans="1:16">
      <c r="A267" s="279" t="s">
        <v>1829</v>
      </c>
      <c r="B267" s="289" t="s">
        <v>1830</v>
      </c>
      <c r="C267" s="288"/>
      <c r="D267" s="288">
        <f t="shared" si="39"/>
        <v>0</v>
      </c>
      <c r="E267" s="288"/>
      <c r="F267" s="288"/>
      <c r="G267" s="288"/>
      <c r="H267" s="288"/>
      <c r="I267" s="288"/>
      <c r="J267" s="318"/>
      <c r="K267" s="294" t="s">
        <v>3555</v>
      </c>
      <c r="L267" s="44">
        <v>1</v>
      </c>
      <c r="M267" s="308" t="s">
        <v>1829</v>
      </c>
      <c r="N267" s="320"/>
      <c r="O267" s="308" t="s">
        <v>541</v>
      </c>
      <c r="P267" s="316" t="s">
        <v>3696</v>
      </c>
    </row>
    <row r="268" s="107" customFormat="1" ht="20.1" customHeight="1" spans="1:16">
      <c r="A268" s="279" t="s">
        <v>1831</v>
      </c>
      <c r="B268" s="289" t="s">
        <v>1832</v>
      </c>
      <c r="C268" s="288"/>
      <c r="D268" s="288">
        <f t="shared" si="39"/>
        <v>0</v>
      </c>
      <c r="E268" s="288"/>
      <c r="F268" s="288"/>
      <c r="G268" s="288"/>
      <c r="H268" s="288"/>
      <c r="I268" s="288"/>
      <c r="J268" s="318"/>
      <c r="K268" s="294" t="s">
        <v>3555</v>
      </c>
      <c r="L268" s="44">
        <v>1</v>
      </c>
      <c r="M268" s="308" t="s">
        <v>1831</v>
      </c>
      <c r="N268" s="320"/>
      <c r="O268" s="308" t="s">
        <v>541</v>
      </c>
      <c r="P268" s="316" t="s">
        <v>3697</v>
      </c>
    </row>
    <row r="269" s="107" customFormat="1" ht="20.1" customHeight="1" spans="1:16">
      <c r="A269" s="279" t="s">
        <v>1833</v>
      </c>
      <c r="B269" s="286" t="s">
        <v>1834</v>
      </c>
      <c r="C269" s="288"/>
      <c r="D269" s="288">
        <f t="shared" si="39"/>
        <v>0</v>
      </c>
      <c r="E269" s="288"/>
      <c r="F269" s="288"/>
      <c r="G269" s="288"/>
      <c r="H269" s="288"/>
      <c r="I269" s="288"/>
      <c r="J269" s="318"/>
      <c r="K269" s="294" t="s">
        <v>3555</v>
      </c>
      <c r="L269" s="44">
        <v>1</v>
      </c>
      <c r="M269" s="308" t="s">
        <v>1833</v>
      </c>
      <c r="N269" s="320"/>
      <c r="O269" s="308" t="s">
        <v>541</v>
      </c>
      <c r="P269" s="315" t="s">
        <v>3698</v>
      </c>
    </row>
    <row r="270" s="107" customFormat="1" ht="20.1" customHeight="1" spans="1:16">
      <c r="A270" s="279" t="s">
        <v>1835</v>
      </c>
      <c r="B270" s="286" t="s">
        <v>1836</v>
      </c>
      <c r="C270" s="288"/>
      <c r="D270" s="288">
        <f t="shared" si="39"/>
        <v>0</v>
      </c>
      <c r="E270" s="288"/>
      <c r="F270" s="288"/>
      <c r="G270" s="288"/>
      <c r="H270" s="288"/>
      <c r="I270" s="288"/>
      <c r="J270" s="318"/>
      <c r="K270" s="294" t="s">
        <v>3555</v>
      </c>
      <c r="L270" s="44">
        <v>1</v>
      </c>
      <c r="M270" s="308" t="s">
        <v>1835</v>
      </c>
      <c r="N270" s="320"/>
      <c r="O270" s="308" t="s">
        <v>541</v>
      </c>
      <c r="P270" s="315" t="s">
        <v>3699</v>
      </c>
    </row>
    <row r="271" s="107" customFormat="1" ht="20.1" customHeight="1" spans="1:16">
      <c r="A271" s="279" t="s">
        <v>1837</v>
      </c>
      <c r="B271" s="286" t="s">
        <v>1838</v>
      </c>
      <c r="C271" s="288"/>
      <c r="D271" s="288">
        <f t="shared" si="39"/>
        <v>0</v>
      </c>
      <c r="E271" s="288"/>
      <c r="F271" s="288"/>
      <c r="G271" s="288"/>
      <c r="H271" s="288"/>
      <c r="I271" s="288"/>
      <c r="J271" s="318"/>
      <c r="K271" s="294" t="s">
        <v>3555</v>
      </c>
      <c r="L271" s="44">
        <v>1</v>
      </c>
      <c r="M271" s="308" t="s">
        <v>1837</v>
      </c>
      <c r="N271" s="320"/>
      <c r="O271" s="308" t="s">
        <v>541</v>
      </c>
      <c r="P271" s="315" t="s">
        <v>3700</v>
      </c>
    </row>
    <row r="272" s="107" customFormat="1" ht="20.1" customHeight="1" spans="1:16">
      <c r="A272" s="283" t="s">
        <v>542</v>
      </c>
      <c r="B272" s="284" t="s">
        <v>1839</v>
      </c>
      <c r="C272" s="285">
        <f t="shared" ref="C272:I272" si="48">SUM(C273:C276)</f>
        <v>0</v>
      </c>
      <c r="D272" s="285">
        <f t="shared" si="39"/>
        <v>0</v>
      </c>
      <c r="E272" s="285">
        <f t="shared" si="48"/>
        <v>0</v>
      </c>
      <c r="F272" s="285">
        <f t="shared" si="48"/>
        <v>0</v>
      </c>
      <c r="G272" s="285">
        <f t="shared" si="48"/>
        <v>0</v>
      </c>
      <c r="H272" s="285">
        <f t="shared" si="48"/>
        <v>0</v>
      </c>
      <c r="I272" s="285">
        <f t="shared" si="48"/>
        <v>0</v>
      </c>
      <c r="J272" s="299"/>
      <c r="K272" s="300" t="s">
        <v>3551</v>
      </c>
      <c r="L272" s="301"/>
      <c r="M272" s="312" t="s">
        <v>542</v>
      </c>
      <c r="N272" s="312" t="s">
        <v>536</v>
      </c>
      <c r="O272" s="312" t="s">
        <v>542</v>
      </c>
      <c r="P272" s="319" t="s">
        <v>3701</v>
      </c>
    </row>
    <row r="273" s="107" customFormat="1" ht="20.1" customHeight="1" spans="1:16">
      <c r="A273" s="279" t="s">
        <v>1840</v>
      </c>
      <c r="B273" s="289" t="s">
        <v>1841</v>
      </c>
      <c r="C273" s="288"/>
      <c r="D273" s="288">
        <f t="shared" si="39"/>
        <v>0</v>
      </c>
      <c r="E273" s="288"/>
      <c r="F273" s="288"/>
      <c r="G273" s="288"/>
      <c r="H273" s="288"/>
      <c r="I273" s="288"/>
      <c r="J273" s="318"/>
      <c r="K273" s="294" t="s">
        <v>3555</v>
      </c>
      <c r="L273" s="44">
        <v>1</v>
      </c>
      <c r="M273" s="308" t="s">
        <v>1840</v>
      </c>
      <c r="N273" s="320"/>
      <c r="O273" s="308" t="s">
        <v>542</v>
      </c>
      <c r="P273" s="316" t="s">
        <v>3702</v>
      </c>
    </row>
    <row r="274" s="107" customFormat="1" ht="20.1" customHeight="1" spans="1:16">
      <c r="A274" s="279" t="s">
        <v>1842</v>
      </c>
      <c r="B274" s="289" t="s">
        <v>1843</v>
      </c>
      <c r="C274" s="288"/>
      <c r="D274" s="288">
        <f t="shared" si="39"/>
        <v>0</v>
      </c>
      <c r="E274" s="288"/>
      <c r="F274" s="288"/>
      <c r="G274" s="288"/>
      <c r="H274" s="288"/>
      <c r="I274" s="288"/>
      <c r="J274" s="318"/>
      <c r="K274" s="294" t="s">
        <v>3555</v>
      </c>
      <c r="L274" s="44">
        <v>1</v>
      </c>
      <c r="M274" s="308" t="s">
        <v>1842</v>
      </c>
      <c r="N274" s="320"/>
      <c r="O274" s="308" t="s">
        <v>542</v>
      </c>
      <c r="P274" s="316" t="s">
        <v>3703</v>
      </c>
    </row>
    <row r="275" s="107" customFormat="1" ht="20.1" customHeight="1" spans="1:16">
      <c r="A275" s="279" t="s">
        <v>1844</v>
      </c>
      <c r="B275" s="286" t="s">
        <v>1845</v>
      </c>
      <c r="C275" s="288"/>
      <c r="D275" s="288">
        <f t="shared" si="39"/>
        <v>0</v>
      </c>
      <c r="E275" s="288"/>
      <c r="F275" s="288"/>
      <c r="G275" s="288"/>
      <c r="H275" s="288"/>
      <c r="I275" s="288"/>
      <c r="J275" s="318"/>
      <c r="K275" s="294" t="s">
        <v>3555</v>
      </c>
      <c r="L275" s="44">
        <v>1</v>
      </c>
      <c r="M275" s="308" t="s">
        <v>1844</v>
      </c>
      <c r="N275" s="320"/>
      <c r="O275" s="308" t="s">
        <v>542</v>
      </c>
      <c r="P275" s="315" t="s">
        <v>3704</v>
      </c>
    </row>
    <row r="276" s="107" customFormat="1" ht="20.1" customHeight="1" spans="1:16">
      <c r="A276" s="279" t="s">
        <v>1846</v>
      </c>
      <c r="B276" s="286" t="s">
        <v>1847</v>
      </c>
      <c r="C276" s="288"/>
      <c r="D276" s="288">
        <f t="shared" si="39"/>
        <v>0</v>
      </c>
      <c r="E276" s="288"/>
      <c r="F276" s="288"/>
      <c r="G276" s="288"/>
      <c r="H276" s="288"/>
      <c r="I276" s="288"/>
      <c r="J276" s="318"/>
      <c r="K276" s="294" t="s">
        <v>3555</v>
      </c>
      <c r="L276" s="44">
        <v>1</v>
      </c>
      <c r="M276" s="308" t="s">
        <v>1846</v>
      </c>
      <c r="N276" s="320"/>
      <c r="O276" s="308" t="s">
        <v>542</v>
      </c>
      <c r="P276" s="315" t="s">
        <v>3705</v>
      </c>
    </row>
    <row r="277" s="107" customFormat="1" ht="20.1" customHeight="1" spans="1:16">
      <c r="A277" s="283" t="s">
        <v>543</v>
      </c>
      <c r="B277" s="284" t="s">
        <v>1848</v>
      </c>
      <c r="C277" s="285">
        <f t="shared" ref="C277:I277" si="49">SUM(C278:C278)</f>
        <v>0</v>
      </c>
      <c r="D277" s="285">
        <f t="shared" si="39"/>
        <v>0</v>
      </c>
      <c r="E277" s="285">
        <f t="shared" si="49"/>
        <v>0</v>
      </c>
      <c r="F277" s="285">
        <f t="shared" si="49"/>
        <v>0</v>
      </c>
      <c r="G277" s="285">
        <f t="shared" si="49"/>
        <v>0</v>
      </c>
      <c r="H277" s="285">
        <f t="shared" si="49"/>
        <v>0</v>
      </c>
      <c r="I277" s="285">
        <f t="shared" si="49"/>
        <v>0</v>
      </c>
      <c r="J277" s="299"/>
      <c r="K277" s="300" t="s">
        <v>3551</v>
      </c>
      <c r="L277" s="301"/>
      <c r="M277" s="312" t="s">
        <v>543</v>
      </c>
      <c r="N277" s="312" t="s">
        <v>536</v>
      </c>
      <c r="O277" s="312" t="s">
        <v>543</v>
      </c>
      <c r="P277" s="319" t="s">
        <v>3706</v>
      </c>
    </row>
    <row r="278" s="107" customFormat="1" ht="20.1" customHeight="1" spans="1:16">
      <c r="A278" s="279" t="s">
        <v>1849</v>
      </c>
      <c r="B278" s="289" t="s">
        <v>1850</v>
      </c>
      <c r="C278" s="288"/>
      <c r="D278" s="288">
        <f t="shared" si="39"/>
        <v>0</v>
      </c>
      <c r="E278" s="288"/>
      <c r="F278" s="288"/>
      <c r="G278" s="288"/>
      <c r="H278" s="288"/>
      <c r="I278" s="288"/>
      <c r="J278" s="318"/>
      <c r="K278" s="294" t="s">
        <v>3555</v>
      </c>
      <c r="L278" s="44">
        <v>1</v>
      </c>
      <c r="M278" s="308" t="s">
        <v>1849</v>
      </c>
      <c r="N278" s="320"/>
      <c r="O278" s="308" t="s">
        <v>543</v>
      </c>
      <c r="P278" s="316" t="s">
        <v>3706</v>
      </c>
    </row>
    <row r="279" s="107" customFormat="1" ht="20.1" customHeight="1" spans="1:16">
      <c r="A279" s="283" t="s">
        <v>544</v>
      </c>
      <c r="B279" s="284" t="s">
        <v>1851</v>
      </c>
      <c r="C279" s="285">
        <f t="shared" ref="C279:I279" si="50">SUM(C280:C283)</f>
        <v>0</v>
      </c>
      <c r="D279" s="285">
        <f t="shared" si="39"/>
        <v>0</v>
      </c>
      <c r="E279" s="285">
        <f t="shared" si="50"/>
        <v>0</v>
      </c>
      <c r="F279" s="285">
        <f t="shared" si="50"/>
        <v>0</v>
      </c>
      <c r="G279" s="285">
        <f t="shared" si="50"/>
        <v>0</v>
      </c>
      <c r="H279" s="285">
        <f t="shared" si="50"/>
        <v>0</v>
      </c>
      <c r="I279" s="285">
        <f t="shared" si="50"/>
        <v>0</v>
      </c>
      <c r="J279" s="299"/>
      <c r="K279" s="300" t="s">
        <v>3551</v>
      </c>
      <c r="L279" s="301"/>
      <c r="M279" s="312" t="s">
        <v>544</v>
      </c>
      <c r="N279" s="312" t="s">
        <v>536</v>
      </c>
      <c r="O279" s="312" t="s">
        <v>544</v>
      </c>
      <c r="P279" s="319" t="s">
        <v>3707</v>
      </c>
    </row>
    <row r="280" s="107" customFormat="1" ht="20.1" customHeight="1" spans="1:16">
      <c r="A280" s="279" t="s">
        <v>1852</v>
      </c>
      <c r="B280" s="289" t="s">
        <v>1853</v>
      </c>
      <c r="C280" s="288"/>
      <c r="D280" s="288">
        <f t="shared" si="39"/>
        <v>0</v>
      </c>
      <c r="E280" s="288"/>
      <c r="F280" s="288"/>
      <c r="G280" s="288"/>
      <c r="H280" s="288"/>
      <c r="I280" s="288"/>
      <c r="J280" s="318"/>
      <c r="K280" s="294" t="s">
        <v>3555</v>
      </c>
      <c r="L280" s="44">
        <v>1</v>
      </c>
      <c r="M280" s="308" t="s">
        <v>1852</v>
      </c>
      <c r="N280" s="320"/>
      <c r="O280" s="308" t="s">
        <v>544</v>
      </c>
      <c r="P280" s="316" t="s">
        <v>3708</v>
      </c>
    </row>
    <row r="281" s="107" customFormat="1" ht="20.1" customHeight="1" spans="1:16">
      <c r="A281" s="279" t="s">
        <v>1854</v>
      </c>
      <c r="B281" s="289" t="s">
        <v>1855</v>
      </c>
      <c r="C281" s="288"/>
      <c r="D281" s="288">
        <f t="shared" si="39"/>
        <v>0</v>
      </c>
      <c r="E281" s="288"/>
      <c r="F281" s="288"/>
      <c r="G281" s="288"/>
      <c r="H281" s="288"/>
      <c r="I281" s="288"/>
      <c r="J281" s="318"/>
      <c r="K281" s="294" t="s">
        <v>3555</v>
      </c>
      <c r="L281" s="44">
        <v>1</v>
      </c>
      <c r="M281" s="308" t="s">
        <v>1854</v>
      </c>
      <c r="N281" s="320"/>
      <c r="O281" s="308" t="s">
        <v>544</v>
      </c>
      <c r="P281" s="316" t="s">
        <v>3709</v>
      </c>
    </row>
    <row r="282" s="107" customFormat="1" ht="20.1" customHeight="1" spans="1:16">
      <c r="A282" s="279" t="s">
        <v>1856</v>
      </c>
      <c r="B282" s="286" t="s">
        <v>1857</v>
      </c>
      <c r="C282" s="288"/>
      <c r="D282" s="288">
        <f t="shared" si="39"/>
        <v>0</v>
      </c>
      <c r="E282" s="288"/>
      <c r="F282" s="288"/>
      <c r="G282" s="288"/>
      <c r="H282" s="288"/>
      <c r="I282" s="288"/>
      <c r="J282" s="318"/>
      <c r="K282" s="294" t="s">
        <v>3555</v>
      </c>
      <c r="L282" s="44">
        <v>1</v>
      </c>
      <c r="M282" s="308" t="s">
        <v>1856</v>
      </c>
      <c r="N282" s="320"/>
      <c r="O282" s="308" t="s">
        <v>544</v>
      </c>
      <c r="P282" s="315" t="s">
        <v>3710</v>
      </c>
    </row>
    <row r="283" s="107" customFormat="1" ht="20.1" customHeight="1" spans="1:16">
      <c r="A283" s="279" t="s">
        <v>1858</v>
      </c>
      <c r="B283" s="286" t="s">
        <v>819</v>
      </c>
      <c r="C283" s="288"/>
      <c r="D283" s="288">
        <f t="shared" si="39"/>
        <v>0</v>
      </c>
      <c r="E283" s="288"/>
      <c r="F283" s="288"/>
      <c r="G283" s="288"/>
      <c r="H283" s="288"/>
      <c r="I283" s="288"/>
      <c r="J283" s="318"/>
      <c r="K283" s="294" t="s">
        <v>3555</v>
      </c>
      <c r="L283" s="44">
        <v>1</v>
      </c>
      <c r="M283" s="308" t="s">
        <v>1858</v>
      </c>
      <c r="N283" s="320"/>
      <c r="O283" s="308" t="s">
        <v>544</v>
      </c>
      <c r="P283" s="315" t="s">
        <v>3711</v>
      </c>
    </row>
    <row r="284" s="107" customFormat="1" ht="20.1" customHeight="1" spans="1:16">
      <c r="A284" s="283" t="s">
        <v>545</v>
      </c>
      <c r="B284" s="284" t="s">
        <v>1859</v>
      </c>
      <c r="C284" s="285">
        <f t="shared" ref="C284:I284" si="51">SUM(C285:C289)</f>
        <v>0</v>
      </c>
      <c r="D284" s="285">
        <f t="shared" si="39"/>
        <v>0</v>
      </c>
      <c r="E284" s="285">
        <f t="shared" si="51"/>
        <v>0</v>
      </c>
      <c r="F284" s="285">
        <f t="shared" si="51"/>
        <v>0</v>
      </c>
      <c r="G284" s="285">
        <f t="shared" si="51"/>
        <v>0</v>
      </c>
      <c r="H284" s="285">
        <f t="shared" si="51"/>
        <v>0</v>
      </c>
      <c r="I284" s="285">
        <f t="shared" si="51"/>
        <v>0</v>
      </c>
      <c r="J284" s="299"/>
      <c r="K284" s="300" t="s">
        <v>3551</v>
      </c>
      <c r="L284" s="301"/>
      <c r="M284" s="312" t="s">
        <v>545</v>
      </c>
      <c r="N284" s="312" t="s">
        <v>536</v>
      </c>
      <c r="O284" s="312" t="s">
        <v>545</v>
      </c>
      <c r="P284" s="319" t="s">
        <v>3712</v>
      </c>
    </row>
    <row r="285" s="107" customFormat="1" ht="20.1" customHeight="1" spans="1:16">
      <c r="A285" s="279" t="s">
        <v>1860</v>
      </c>
      <c r="B285" s="289" t="s">
        <v>1458</v>
      </c>
      <c r="C285" s="288"/>
      <c r="D285" s="288">
        <f t="shared" si="39"/>
        <v>0</v>
      </c>
      <c r="E285" s="288"/>
      <c r="F285" s="288"/>
      <c r="G285" s="288"/>
      <c r="H285" s="288"/>
      <c r="I285" s="288"/>
      <c r="J285" s="318"/>
      <c r="K285" s="294" t="s">
        <v>3555</v>
      </c>
      <c r="L285" s="44">
        <v>1</v>
      </c>
      <c r="M285" s="308" t="s">
        <v>1860</v>
      </c>
      <c r="N285" s="320"/>
      <c r="O285" s="308" t="s">
        <v>545</v>
      </c>
      <c r="P285" s="316" t="s">
        <v>3556</v>
      </c>
    </row>
    <row r="286" s="107" customFormat="1" ht="20.1" customHeight="1" spans="1:16">
      <c r="A286" s="279" t="s">
        <v>1861</v>
      </c>
      <c r="B286" s="289" t="s">
        <v>1460</v>
      </c>
      <c r="C286" s="288"/>
      <c r="D286" s="288">
        <f t="shared" si="39"/>
        <v>0</v>
      </c>
      <c r="E286" s="288"/>
      <c r="F286" s="288"/>
      <c r="G286" s="288"/>
      <c r="H286" s="288"/>
      <c r="I286" s="288"/>
      <c r="J286" s="318"/>
      <c r="K286" s="294" t="s">
        <v>3555</v>
      </c>
      <c r="L286" s="44">
        <v>1</v>
      </c>
      <c r="M286" s="308" t="s">
        <v>1861</v>
      </c>
      <c r="N286" s="320"/>
      <c r="O286" s="308" t="s">
        <v>545</v>
      </c>
      <c r="P286" s="316" t="s">
        <v>3557</v>
      </c>
    </row>
    <row r="287" s="107" customFormat="1" ht="20.1" customHeight="1" spans="1:16">
      <c r="A287" s="279" t="s">
        <v>1862</v>
      </c>
      <c r="B287" s="286" t="s">
        <v>1462</v>
      </c>
      <c r="C287" s="288"/>
      <c r="D287" s="288">
        <f t="shared" si="39"/>
        <v>0</v>
      </c>
      <c r="E287" s="288"/>
      <c r="F287" s="288"/>
      <c r="G287" s="288"/>
      <c r="H287" s="288"/>
      <c r="I287" s="288"/>
      <c r="J287" s="318"/>
      <c r="K287" s="294" t="s">
        <v>3555</v>
      </c>
      <c r="L287" s="44">
        <v>1</v>
      </c>
      <c r="M287" s="308" t="s">
        <v>1862</v>
      </c>
      <c r="N287" s="320"/>
      <c r="O287" s="308" t="s">
        <v>545</v>
      </c>
      <c r="P287" s="315" t="s">
        <v>3558</v>
      </c>
    </row>
    <row r="288" s="107" customFormat="1" ht="20.1" customHeight="1" spans="1:16">
      <c r="A288" s="279" t="s">
        <v>1863</v>
      </c>
      <c r="B288" s="286" t="s">
        <v>1476</v>
      </c>
      <c r="C288" s="288"/>
      <c r="D288" s="288">
        <f t="shared" si="39"/>
        <v>0</v>
      </c>
      <c r="E288" s="288"/>
      <c r="F288" s="288"/>
      <c r="G288" s="288"/>
      <c r="H288" s="288"/>
      <c r="I288" s="288"/>
      <c r="J288" s="318"/>
      <c r="K288" s="294" t="s">
        <v>3555</v>
      </c>
      <c r="L288" s="44">
        <v>1</v>
      </c>
      <c r="M288" s="308" t="s">
        <v>1863</v>
      </c>
      <c r="N288" s="320"/>
      <c r="O288" s="308" t="s">
        <v>545</v>
      </c>
      <c r="P288" s="315" t="s">
        <v>3565</v>
      </c>
    </row>
    <row r="289" s="107" customFormat="1" ht="20.1" customHeight="1" spans="1:16">
      <c r="A289" s="279" t="s">
        <v>1864</v>
      </c>
      <c r="B289" s="286" t="s">
        <v>1865</v>
      </c>
      <c r="C289" s="288"/>
      <c r="D289" s="288">
        <f t="shared" si="39"/>
        <v>0</v>
      </c>
      <c r="E289" s="288"/>
      <c r="F289" s="288"/>
      <c r="G289" s="288"/>
      <c r="H289" s="288"/>
      <c r="I289" s="288"/>
      <c r="J289" s="318"/>
      <c r="K289" s="294" t="s">
        <v>3555</v>
      </c>
      <c r="L289" s="44">
        <v>1</v>
      </c>
      <c r="M289" s="308" t="s">
        <v>1864</v>
      </c>
      <c r="N289" s="320"/>
      <c r="O289" s="308" t="s">
        <v>545</v>
      </c>
      <c r="P289" s="315" t="s">
        <v>3713</v>
      </c>
    </row>
    <row r="290" s="107" customFormat="1" ht="20.1" customHeight="1" spans="1:16">
      <c r="A290" s="283" t="s">
        <v>546</v>
      </c>
      <c r="B290" s="284" t="s">
        <v>1866</v>
      </c>
      <c r="C290" s="285">
        <f t="shared" ref="C290:I290" si="52">SUM(C291:C291)</f>
        <v>0</v>
      </c>
      <c r="D290" s="285">
        <f t="shared" si="39"/>
        <v>0</v>
      </c>
      <c r="E290" s="285">
        <f t="shared" si="52"/>
        <v>0</v>
      </c>
      <c r="F290" s="285">
        <f t="shared" si="52"/>
        <v>0</v>
      </c>
      <c r="G290" s="285">
        <f t="shared" si="52"/>
        <v>0</v>
      </c>
      <c r="H290" s="285">
        <f t="shared" si="52"/>
        <v>0</v>
      </c>
      <c r="I290" s="285">
        <f t="shared" si="52"/>
        <v>0</v>
      </c>
      <c r="J290" s="299"/>
      <c r="K290" s="300" t="s">
        <v>3551</v>
      </c>
      <c r="L290" s="301"/>
      <c r="M290" s="312" t="s">
        <v>546</v>
      </c>
      <c r="N290" s="312" t="s">
        <v>536</v>
      </c>
      <c r="O290" s="312" t="s">
        <v>546</v>
      </c>
      <c r="P290" s="319" t="s">
        <v>3714</v>
      </c>
    </row>
    <row r="291" s="107" customFormat="1" ht="20.1" customHeight="1" spans="1:16">
      <c r="A291" s="279" t="s">
        <v>1867</v>
      </c>
      <c r="B291" s="289" t="s">
        <v>1868</v>
      </c>
      <c r="C291" s="288"/>
      <c r="D291" s="288">
        <f t="shared" si="39"/>
        <v>0</v>
      </c>
      <c r="E291" s="288"/>
      <c r="F291" s="288"/>
      <c r="G291" s="288"/>
      <c r="H291" s="288"/>
      <c r="I291" s="288"/>
      <c r="J291" s="318"/>
      <c r="K291" s="294" t="s">
        <v>3555</v>
      </c>
      <c r="L291" s="44">
        <v>1</v>
      </c>
      <c r="M291" s="308" t="s">
        <v>1867</v>
      </c>
      <c r="N291" s="320"/>
      <c r="O291" s="308" t="s">
        <v>546</v>
      </c>
      <c r="P291" s="316" t="s">
        <v>3714</v>
      </c>
    </row>
    <row r="292" s="107" customFormat="1" ht="20.1" customHeight="1" spans="1:16">
      <c r="A292" s="280" t="s">
        <v>547</v>
      </c>
      <c r="B292" s="281" t="s">
        <v>548</v>
      </c>
      <c r="C292" s="282">
        <f t="shared" ref="C292:I292" si="53">C293+C297+C299+C301+C309</f>
        <v>163</v>
      </c>
      <c r="D292" s="282">
        <f t="shared" si="39"/>
        <v>109</v>
      </c>
      <c r="E292" s="282">
        <f t="shared" si="53"/>
        <v>66</v>
      </c>
      <c r="F292" s="282">
        <f t="shared" si="53"/>
        <v>0</v>
      </c>
      <c r="G292" s="282">
        <f t="shared" si="53"/>
        <v>23</v>
      </c>
      <c r="H292" s="282">
        <f t="shared" si="53"/>
        <v>0</v>
      </c>
      <c r="I292" s="282">
        <f t="shared" si="53"/>
        <v>20</v>
      </c>
      <c r="J292" s="296">
        <f t="shared" ref="J292:J296" si="54">ROUND(IF(C292=0,IF(D292=0,0,1),IF(D292=0,-1,D292/C292)),4)*100</f>
        <v>66.87</v>
      </c>
      <c r="K292" s="297" t="s">
        <v>3550</v>
      </c>
      <c r="L292" s="298"/>
      <c r="M292" s="310" t="s">
        <v>547</v>
      </c>
      <c r="N292" s="310" t="s">
        <v>547</v>
      </c>
      <c r="O292" s="310" t="s">
        <v>547</v>
      </c>
      <c r="P292" s="311" t="s">
        <v>3715</v>
      </c>
    </row>
    <row r="293" s="107" customFormat="1" ht="20.1" customHeight="1" spans="1:16">
      <c r="A293" s="283" t="s">
        <v>549</v>
      </c>
      <c r="B293" s="284" t="s">
        <v>1869</v>
      </c>
      <c r="C293" s="285">
        <f t="shared" ref="C293:I293" si="55">SUM(C294:C296)</f>
        <v>0</v>
      </c>
      <c r="D293" s="285">
        <f t="shared" si="39"/>
        <v>0</v>
      </c>
      <c r="E293" s="285">
        <f t="shared" si="55"/>
        <v>0</v>
      </c>
      <c r="F293" s="285">
        <f t="shared" si="55"/>
        <v>0</v>
      </c>
      <c r="G293" s="285">
        <f t="shared" si="55"/>
        <v>0</v>
      </c>
      <c r="H293" s="285">
        <f t="shared" si="55"/>
        <v>0</v>
      </c>
      <c r="I293" s="285">
        <f t="shared" si="55"/>
        <v>0</v>
      </c>
      <c r="J293" s="299">
        <f t="shared" si="54"/>
        <v>0</v>
      </c>
      <c r="K293" s="300" t="s">
        <v>3551</v>
      </c>
      <c r="L293" s="301"/>
      <c r="M293" s="312" t="s">
        <v>549</v>
      </c>
      <c r="N293" s="312" t="s">
        <v>547</v>
      </c>
      <c r="O293" s="312" t="s">
        <v>549</v>
      </c>
      <c r="P293" s="313" t="s">
        <v>3716</v>
      </c>
    </row>
    <row r="294" s="106" customFormat="1" ht="20.1" customHeight="1" spans="1:16">
      <c r="A294" s="279" t="s">
        <v>1870</v>
      </c>
      <c r="B294" s="289" t="s">
        <v>1871</v>
      </c>
      <c r="C294" s="287"/>
      <c r="D294" s="288">
        <f t="shared" si="39"/>
        <v>0</v>
      </c>
      <c r="E294" s="287"/>
      <c r="F294" s="287"/>
      <c r="G294" s="287"/>
      <c r="H294" s="287"/>
      <c r="I294" s="302"/>
      <c r="J294" s="303">
        <f t="shared" si="54"/>
        <v>0</v>
      </c>
      <c r="K294" s="294" t="s">
        <v>3555</v>
      </c>
      <c r="L294" s="44">
        <v>1</v>
      </c>
      <c r="M294" s="308" t="s">
        <v>1870</v>
      </c>
      <c r="N294" s="308"/>
      <c r="O294" s="308" t="s">
        <v>549</v>
      </c>
      <c r="P294" s="316" t="s">
        <v>3717</v>
      </c>
    </row>
    <row r="295" s="106" customFormat="1" ht="20.1" customHeight="1" spans="1:16">
      <c r="A295" s="279" t="s">
        <v>1872</v>
      </c>
      <c r="B295" s="286" t="s">
        <v>1873</v>
      </c>
      <c r="C295" s="287">
        <v>0</v>
      </c>
      <c r="D295" s="288">
        <f t="shared" si="39"/>
        <v>0</v>
      </c>
      <c r="E295" s="287"/>
      <c r="F295" s="287"/>
      <c r="G295" s="287"/>
      <c r="H295" s="287"/>
      <c r="I295" s="302"/>
      <c r="J295" s="303">
        <f t="shared" si="54"/>
        <v>0</v>
      </c>
      <c r="K295" s="294" t="s">
        <v>3555</v>
      </c>
      <c r="L295" s="44">
        <v>1</v>
      </c>
      <c r="M295" s="308" t="s">
        <v>1872</v>
      </c>
      <c r="N295" s="308"/>
      <c r="O295" s="308" t="s">
        <v>549</v>
      </c>
      <c r="P295" s="315" t="s">
        <v>3718</v>
      </c>
    </row>
    <row r="296" s="106" customFormat="1" ht="20.1" customHeight="1" spans="1:16">
      <c r="A296" s="279" t="s">
        <v>1874</v>
      </c>
      <c r="B296" s="286" t="s">
        <v>1875</v>
      </c>
      <c r="C296" s="287"/>
      <c r="D296" s="288">
        <f t="shared" si="39"/>
        <v>0</v>
      </c>
      <c r="E296" s="287"/>
      <c r="F296" s="287"/>
      <c r="G296" s="287"/>
      <c r="H296" s="287"/>
      <c r="I296" s="302"/>
      <c r="J296" s="303">
        <f t="shared" si="54"/>
        <v>0</v>
      </c>
      <c r="K296" s="294" t="s">
        <v>3555</v>
      </c>
      <c r="L296" s="44">
        <v>1</v>
      </c>
      <c r="M296" s="308" t="s">
        <v>1874</v>
      </c>
      <c r="N296" s="308"/>
      <c r="O296" s="308" t="s">
        <v>549</v>
      </c>
      <c r="P296" s="315" t="s">
        <v>3719</v>
      </c>
    </row>
    <row r="297" s="107" customFormat="1" ht="20.1" customHeight="1" spans="1:16">
      <c r="A297" s="283" t="s">
        <v>1876</v>
      </c>
      <c r="B297" s="284" t="s">
        <v>1877</v>
      </c>
      <c r="C297" s="285">
        <f t="shared" ref="C297:I297" si="56">SUM(C298:C298)</f>
        <v>0</v>
      </c>
      <c r="D297" s="285">
        <f t="shared" si="39"/>
        <v>0</v>
      </c>
      <c r="E297" s="285">
        <f t="shared" si="56"/>
        <v>0</v>
      </c>
      <c r="F297" s="285">
        <f t="shared" si="56"/>
        <v>0</v>
      </c>
      <c r="G297" s="285">
        <f t="shared" si="56"/>
        <v>0</v>
      </c>
      <c r="H297" s="285">
        <f t="shared" si="56"/>
        <v>0</v>
      </c>
      <c r="I297" s="285">
        <f t="shared" si="56"/>
        <v>0</v>
      </c>
      <c r="J297" s="299"/>
      <c r="K297" s="300" t="s">
        <v>3551</v>
      </c>
      <c r="L297" s="301"/>
      <c r="M297" s="312" t="s">
        <v>550</v>
      </c>
      <c r="N297" s="312" t="s">
        <v>547</v>
      </c>
      <c r="O297" s="312" t="s">
        <v>550</v>
      </c>
      <c r="P297" s="319" t="s">
        <v>3720</v>
      </c>
    </row>
    <row r="298" s="107" customFormat="1" ht="20.1" customHeight="1" spans="1:16">
      <c r="A298" s="279" t="s">
        <v>1876</v>
      </c>
      <c r="B298" s="289" t="s">
        <v>1878</v>
      </c>
      <c r="C298" s="288"/>
      <c r="D298" s="288">
        <f t="shared" si="39"/>
        <v>0</v>
      </c>
      <c r="E298" s="288"/>
      <c r="F298" s="288"/>
      <c r="G298" s="288"/>
      <c r="H298" s="288"/>
      <c r="I298" s="288"/>
      <c r="J298" s="318"/>
      <c r="K298" s="294" t="s">
        <v>3555</v>
      </c>
      <c r="L298" s="44">
        <v>1</v>
      </c>
      <c r="M298" s="308" t="s">
        <v>1876</v>
      </c>
      <c r="N298" s="320"/>
      <c r="O298" s="308" t="s">
        <v>550</v>
      </c>
      <c r="P298" s="316" t="s">
        <v>3720</v>
      </c>
    </row>
    <row r="299" s="107" customFormat="1" ht="20.1" customHeight="1" spans="1:16">
      <c r="A299" s="283" t="s">
        <v>551</v>
      </c>
      <c r="B299" s="284" t="s">
        <v>1879</v>
      </c>
      <c r="C299" s="285">
        <f t="shared" ref="C299:I299" si="57">SUM(C300:C300)</f>
        <v>0</v>
      </c>
      <c r="D299" s="285">
        <f t="shared" si="39"/>
        <v>0</v>
      </c>
      <c r="E299" s="285">
        <f t="shared" si="57"/>
        <v>0</v>
      </c>
      <c r="F299" s="285">
        <f t="shared" si="57"/>
        <v>0</v>
      </c>
      <c r="G299" s="285">
        <f t="shared" si="57"/>
        <v>0</v>
      </c>
      <c r="H299" s="285">
        <f t="shared" si="57"/>
        <v>0</v>
      </c>
      <c r="I299" s="285">
        <f t="shared" si="57"/>
        <v>0</v>
      </c>
      <c r="J299" s="299"/>
      <c r="K299" s="300" t="s">
        <v>3551</v>
      </c>
      <c r="L299" s="301"/>
      <c r="M299" s="312" t="s">
        <v>551</v>
      </c>
      <c r="N299" s="312" t="s">
        <v>547</v>
      </c>
      <c r="O299" s="312" t="s">
        <v>551</v>
      </c>
      <c r="P299" s="319" t="s">
        <v>3721</v>
      </c>
    </row>
    <row r="300" s="107" customFormat="1" ht="20.1" customHeight="1" spans="1:16">
      <c r="A300" s="279" t="s">
        <v>1880</v>
      </c>
      <c r="B300" s="289" t="s">
        <v>1881</v>
      </c>
      <c r="C300" s="288"/>
      <c r="D300" s="288">
        <f t="shared" si="39"/>
        <v>0</v>
      </c>
      <c r="E300" s="288"/>
      <c r="F300" s="288"/>
      <c r="G300" s="288"/>
      <c r="H300" s="288"/>
      <c r="I300" s="288"/>
      <c r="J300" s="318"/>
      <c r="K300" s="294" t="s">
        <v>3555</v>
      </c>
      <c r="L300" s="44">
        <v>1</v>
      </c>
      <c r="M300" s="308" t="s">
        <v>1880</v>
      </c>
      <c r="N300" s="320"/>
      <c r="O300" s="308" t="s">
        <v>551</v>
      </c>
      <c r="P300" s="316" t="s">
        <v>3721</v>
      </c>
    </row>
    <row r="301" s="107" customFormat="1" ht="20.1" customHeight="1" spans="1:16">
      <c r="A301" s="283" t="s">
        <v>552</v>
      </c>
      <c r="B301" s="284" t="s">
        <v>1882</v>
      </c>
      <c r="C301" s="285">
        <f t="shared" ref="C301:I301" si="58">SUM(C302:C308)</f>
        <v>153</v>
      </c>
      <c r="D301" s="285">
        <f t="shared" si="39"/>
        <v>109</v>
      </c>
      <c r="E301" s="285">
        <f t="shared" si="58"/>
        <v>66</v>
      </c>
      <c r="F301" s="285">
        <f t="shared" si="58"/>
        <v>0</v>
      </c>
      <c r="G301" s="285">
        <f t="shared" si="58"/>
        <v>23</v>
      </c>
      <c r="H301" s="285">
        <f t="shared" si="58"/>
        <v>0</v>
      </c>
      <c r="I301" s="285">
        <f t="shared" si="58"/>
        <v>20</v>
      </c>
      <c r="J301" s="299">
        <f t="shared" ref="J301:J309" si="59">ROUND(IF(C301=0,IF(D301=0,0,1),IF(D301=0,-1,D301/C301)),4)*100</f>
        <v>71.24</v>
      </c>
      <c r="K301" s="300" t="s">
        <v>3551</v>
      </c>
      <c r="L301" s="301"/>
      <c r="M301" s="312" t="s">
        <v>552</v>
      </c>
      <c r="N301" s="312" t="s">
        <v>547</v>
      </c>
      <c r="O301" s="312" t="s">
        <v>552</v>
      </c>
      <c r="P301" s="313" t="s">
        <v>3716</v>
      </c>
    </row>
    <row r="302" s="106" customFormat="1" ht="20.1" customHeight="1" spans="1:16">
      <c r="A302" s="279" t="s">
        <v>1883</v>
      </c>
      <c r="B302" s="289" t="s">
        <v>1884</v>
      </c>
      <c r="C302" s="287">
        <v>42</v>
      </c>
      <c r="D302" s="288">
        <f t="shared" si="39"/>
        <v>36</v>
      </c>
      <c r="E302" s="287"/>
      <c r="F302" s="287"/>
      <c r="G302" s="287">
        <v>23</v>
      </c>
      <c r="H302" s="287"/>
      <c r="I302" s="302">
        <v>13</v>
      </c>
      <c r="J302" s="303">
        <f t="shared" si="59"/>
        <v>85.71</v>
      </c>
      <c r="K302" s="294" t="s">
        <v>3555</v>
      </c>
      <c r="L302" s="44">
        <v>1</v>
      </c>
      <c r="M302" s="308" t="s">
        <v>1883</v>
      </c>
      <c r="N302" s="308"/>
      <c r="O302" s="308" t="s">
        <v>552</v>
      </c>
      <c r="P302" s="309" t="s">
        <v>3722</v>
      </c>
    </row>
    <row r="303" s="106" customFormat="1" ht="20.1" customHeight="1" spans="1:16">
      <c r="A303" s="279" t="s">
        <v>1885</v>
      </c>
      <c r="B303" s="286" t="s">
        <v>1886</v>
      </c>
      <c r="C303" s="287"/>
      <c r="D303" s="288">
        <f t="shared" si="39"/>
        <v>0</v>
      </c>
      <c r="E303" s="287"/>
      <c r="F303" s="287"/>
      <c r="G303" s="287"/>
      <c r="H303" s="287"/>
      <c r="I303" s="302"/>
      <c r="J303" s="303">
        <f t="shared" si="59"/>
        <v>0</v>
      </c>
      <c r="K303" s="294" t="s">
        <v>3555</v>
      </c>
      <c r="L303" s="44">
        <v>1</v>
      </c>
      <c r="M303" s="308" t="s">
        <v>1885</v>
      </c>
      <c r="N303" s="308"/>
      <c r="O303" s="308" t="s">
        <v>552</v>
      </c>
      <c r="P303" s="309" t="s">
        <v>3723</v>
      </c>
    </row>
    <row r="304" s="106" customFormat="1" ht="20.1" customHeight="1" spans="1:16">
      <c r="A304" s="279" t="s">
        <v>1887</v>
      </c>
      <c r="B304" s="286" t="s">
        <v>1888</v>
      </c>
      <c r="C304" s="287">
        <v>4</v>
      </c>
      <c r="D304" s="288">
        <f t="shared" si="39"/>
        <v>1</v>
      </c>
      <c r="E304" s="287"/>
      <c r="F304" s="287"/>
      <c r="G304" s="287"/>
      <c r="H304" s="287"/>
      <c r="I304" s="302">
        <v>1</v>
      </c>
      <c r="J304" s="303">
        <f t="shared" si="59"/>
        <v>25</v>
      </c>
      <c r="K304" s="294" t="s">
        <v>3555</v>
      </c>
      <c r="L304" s="44">
        <v>1</v>
      </c>
      <c r="M304" s="308" t="s">
        <v>1887</v>
      </c>
      <c r="N304" s="308"/>
      <c r="O304" s="308" t="s">
        <v>552</v>
      </c>
      <c r="P304" s="309" t="s">
        <v>3724</v>
      </c>
    </row>
    <row r="305" s="106" customFormat="1" ht="20.1" customHeight="1" spans="1:16">
      <c r="A305" s="279" t="s">
        <v>1889</v>
      </c>
      <c r="B305" s="286" t="s">
        <v>1890</v>
      </c>
      <c r="C305" s="287"/>
      <c r="D305" s="288">
        <f t="shared" si="39"/>
        <v>0</v>
      </c>
      <c r="E305" s="287"/>
      <c r="F305" s="287"/>
      <c r="G305" s="287"/>
      <c r="H305" s="287"/>
      <c r="I305" s="302"/>
      <c r="J305" s="303">
        <f t="shared" si="59"/>
        <v>0</v>
      </c>
      <c r="K305" s="294" t="s">
        <v>3555</v>
      </c>
      <c r="L305" s="44">
        <v>1</v>
      </c>
      <c r="M305" s="308" t="s">
        <v>1889</v>
      </c>
      <c r="N305" s="308"/>
      <c r="O305" s="308" t="s">
        <v>552</v>
      </c>
      <c r="P305" s="309" t="s">
        <v>3725</v>
      </c>
    </row>
    <row r="306" s="106" customFormat="1" ht="20.1" customHeight="1" spans="1:16">
      <c r="A306" s="279" t="s">
        <v>1891</v>
      </c>
      <c r="B306" s="289" t="s">
        <v>1892</v>
      </c>
      <c r="C306" s="287">
        <v>107</v>
      </c>
      <c r="D306" s="288">
        <f t="shared" ref="D306:D321" si="60">SUM(E306:I306)</f>
        <v>72</v>
      </c>
      <c r="E306" s="287">
        <v>66</v>
      </c>
      <c r="F306" s="287"/>
      <c r="G306" s="287"/>
      <c r="H306" s="287"/>
      <c r="I306" s="302">
        <v>6</v>
      </c>
      <c r="J306" s="303">
        <f t="shared" si="59"/>
        <v>67.29</v>
      </c>
      <c r="K306" s="294" t="s">
        <v>3555</v>
      </c>
      <c r="L306" s="44">
        <v>1</v>
      </c>
      <c r="M306" s="308" t="s">
        <v>1891</v>
      </c>
      <c r="N306" s="308"/>
      <c r="O306" s="308" t="s">
        <v>552</v>
      </c>
      <c r="P306" s="309" t="s">
        <v>3726</v>
      </c>
    </row>
    <row r="307" s="106" customFormat="1" ht="20.1" customHeight="1" spans="1:16">
      <c r="A307" s="279" t="s">
        <v>1893</v>
      </c>
      <c r="B307" s="289" t="s">
        <v>1894</v>
      </c>
      <c r="C307" s="287"/>
      <c r="D307" s="288">
        <f t="shared" si="60"/>
        <v>0</v>
      </c>
      <c r="E307" s="287"/>
      <c r="F307" s="287"/>
      <c r="G307" s="287"/>
      <c r="H307" s="287"/>
      <c r="I307" s="302"/>
      <c r="J307" s="303">
        <f t="shared" si="59"/>
        <v>0</v>
      </c>
      <c r="K307" s="294" t="s">
        <v>3555</v>
      </c>
      <c r="L307" s="44">
        <v>1</v>
      </c>
      <c r="M307" s="308" t="s">
        <v>1893</v>
      </c>
      <c r="N307" s="308"/>
      <c r="O307" s="308" t="s">
        <v>552</v>
      </c>
      <c r="P307" s="309" t="s">
        <v>3727</v>
      </c>
    </row>
    <row r="308" s="106" customFormat="1" ht="20.1" customHeight="1" spans="1:16">
      <c r="A308" s="279" t="s">
        <v>1895</v>
      </c>
      <c r="B308" s="289" t="s">
        <v>1896</v>
      </c>
      <c r="C308" s="287"/>
      <c r="D308" s="288">
        <f t="shared" si="60"/>
        <v>0</v>
      </c>
      <c r="E308" s="287"/>
      <c r="F308" s="287"/>
      <c r="G308" s="287"/>
      <c r="H308" s="287"/>
      <c r="I308" s="302"/>
      <c r="J308" s="303">
        <f t="shared" si="59"/>
        <v>0</v>
      </c>
      <c r="K308" s="294" t="s">
        <v>3555</v>
      </c>
      <c r="L308" s="44">
        <v>1</v>
      </c>
      <c r="M308" s="308" t="s">
        <v>1895</v>
      </c>
      <c r="N308" s="308"/>
      <c r="O308" s="308" t="s">
        <v>552</v>
      </c>
      <c r="P308" s="309" t="s">
        <v>3728</v>
      </c>
    </row>
    <row r="309" s="107" customFormat="1" ht="20.1" customHeight="1" spans="1:16">
      <c r="A309" s="283" t="s">
        <v>553</v>
      </c>
      <c r="B309" s="284" t="s">
        <v>1897</v>
      </c>
      <c r="C309" s="285">
        <f t="shared" ref="C309:I309" si="61">SUM(C310)</f>
        <v>10</v>
      </c>
      <c r="D309" s="285">
        <f t="shared" si="60"/>
        <v>0</v>
      </c>
      <c r="E309" s="285">
        <f t="shared" si="61"/>
        <v>0</v>
      </c>
      <c r="F309" s="285">
        <f t="shared" si="61"/>
        <v>0</v>
      </c>
      <c r="G309" s="285">
        <f t="shared" si="61"/>
        <v>0</v>
      </c>
      <c r="H309" s="285">
        <f t="shared" si="61"/>
        <v>0</v>
      </c>
      <c r="I309" s="285">
        <f t="shared" si="61"/>
        <v>0</v>
      </c>
      <c r="J309" s="299">
        <f t="shared" si="59"/>
        <v>-100</v>
      </c>
      <c r="K309" s="300" t="s">
        <v>3551</v>
      </c>
      <c r="L309" s="301">
        <v>1</v>
      </c>
      <c r="M309" s="312" t="s">
        <v>553</v>
      </c>
      <c r="N309" s="312" t="s">
        <v>547</v>
      </c>
      <c r="O309" s="312" t="s">
        <v>553</v>
      </c>
      <c r="P309" s="313" t="s">
        <v>3729</v>
      </c>
    </row>
    <row r="310" s="106" customFormat="1" ht="20.1" customHeight="1" spans="1:16">
      <c r="A310" s="279" t="s">
        <v>1898</v>
      </c>
      <c r="B310" s="286" t="s">
        <v>1899</v>
      </c>
      <c r="C310" s="287">
        <v>10</v>
      </c>
      <c r="D310" s="287">
        <f t="shared" si="60"/>
        <v>0</v>
      </c>
      <c r="E310" s="287"/>
      <c r="F310" s="287"/>
      <c r="G310" s="287"/>
      <c r="H310" s="287"/>
      <c r="I310" s="287"/>
      <c r="J310" s="303"/>
      <c r="K310" s="294" t="s">
        <v>3555</v>
      </c>
      <c r="L310" s="44">
        <v>1</v>
      </c>
      <c r="M310" s="308" t="s">
        <v>3730</v>
      </c>
      <c r="N310" s="308"/>
      <c r="O310" s="308" t="s">
        <v>1898</v>
      </c>
      <c r="P310" s="309" t="s">
        <v>3729</v>
      </c>
    </row>
    <row r="311" s="107" customFormat="1" ht="20.1" customHeight="1" spans="1:16">
      <c r="A311" s="280" t="s">
        <v>554</v>
      </c>
      <c r="B311" s="281" t="s">
        <v>555</v>
      </c>
      <c r="C311" s="282">
        <f t="shared" ref="C311:I311" si="62">C312+C315+C326+C333+C341+C350+C364+C374+C384+C392+C398</f>
        <v>9349</v>
      </c>
      <c r="D311" s="282">
        <f t="shared" si="60"/>
        <v>8962</v>
      </c>
      <c r="E311" s="282">
        <f t="shared" si="62"/>
        <v>1200</v>
      </c>
      <c r="F311" s="282">
        <f t="shared" si="62"/>
        <v>0</v>
      </c>
      <c r="G311" s="282">
        <f t="shared" si="62"/>
        <v>124</v>
      </c>
      <c r="H311" s="282">
        <f t="shared" si="62"/>
        <v>0</v>
      </c>
      <c r="I311" s="282">
        <f t="shared" si="62"/>
        <v>7638</v>
      </c>
      <c r="J311" s="296">
        <f t="shared" ref="J311:J321" si="63">ROUND(IF(C311=0,IF(D311=0,0,1),IF(D311=0,-1,D311/C311)),4)*100</f>
        <v>95.86</v>
      </c>
      <c r="K311" s="297" t="s">
        <v>3550</v>
      </c>
      <c r="L311" s="298"/>
      <c r="M311" s="310" t="s">
        <v>554</v>
      </c>
      <c r="N311" s="310" t="s">
        <v>554</v>
      </c>
      <c r="O311" s="310" t="s">
        <v>554</v>
      </c>
      <c r="P311" s="311" t="s">
        <v>3731</v>
      </c>
    </row>
    <row r="312" s="107" customFormat="1" ht="20.1" customHeight="1" spans="1:16">
      <c r="A312" s="283" t="s">
        <v>556</v>
      </c>
      <c r="B312" s="284" t="s">
        <v>1900</v>
      </c>
      <c r="C312" s="285">
        <f t="shared" ref="C312:I312" si="64">SUM(C313:C314)</f>
        <v>28</v>
      </c>
      <c r="D312" s="285">
        <f t="shared" si="60"/>
        <v>12</v>
      </c>
      <c r="E312" s="285">
        <f t="shared" si="64"/>
        <v>0</v>
      </c>
      <c r="F312" s="285">
        <f t="shared" si="64"/>
        <v>0</v>
      </c>
      <c r="G312" s="285">
        <f t="shared" si="64"/>
        <v>0</v>
      </c>
      <c r="H312" s="285">
        <f t="shared" si="64"/>
        <v>0</v>
      </c>
      <c r="I312" s="285">
        <f t="shared" si="64"/>
        <v>12</v>
      </c>
      <c r="J312" s="299">
        <f t="shared" si="63"/>
        <v>42.86</v>
      </c>
      <c r="K312" s="300" t="s">
        <v>3551</v>
      </c>
      <c r="L312" s="301"/>
      <c r="M312" s="312" t="s">
        <v>556</v>
      </c>
      <c r="N312" s="312" t="s">
        <v>554</v>
      </c>
      <c r="O312" s="312" t="s">
        <v>556</v>
      </c>
      <c r="P312" s="313" t="s">
        <v>3732</v>
      </c>
    </row>
    <row r="313" s="106" customFormat="1" ht="20.1" customHeight="1" spans="1:16">
      <c r="A313" s="279" t="s">
        <v>1901</v>
      </c>
      <c r="B313" s="286" t="s">
        <v>1902</v>
      </c>
      <c r="C313" s="287">
        <v>15</v>
      </c>
      <c r="D313" s="288">
        <f t="shared" si="60"/>
        <v>12</v>
      </c>
      <c r="E313" s="287"/>
      <c r="F313" s="287"/>
      <c r="G313" s="287"/>
      <c r="H313" s="287"/>
      <c r="I313" s="302">
        <v>12</v>
      </c>
      <c r="J313" s="303">
        <f t="shared" si="63"/>
        <v>80</v>
      </c>
      <c r="K313" s="294" t="s">
        <v>3555</v>
      </c>
      <c r="L313" s="44">
        <v>1</v>
      </c>
      <c r="M313" s="308" t="s">
        <v>1901</v>
      </c>
      <c r="N313" s="308"/>
      <c r="O313" s="308" t="s">
        <v>556</v>
      </c>
      <c r="P313" s="314" t="s">
        <v>3732</v>
      </c>
    </row>
    <row r="314" s="106" customFormat="1" ht="20.1" customHeight="1" spans="1:16">
      <c r="A314" s="279" t="s">
        <v>1903</v>
      </c>
      <c r="B314" s="286" t="s">
        <v>1904</v>
      </c>
      <c r="C314" s="287">
        <v>13</v>
      </c>
      <c r="D314" s="288">
        <f t="shared" si="60"/>
        <v>0</v>
      </c>
      <c r="E314" s="287"/>
      <c r="F314" s="287"/>
      <c r="G314" s="287"/>
      <c r="H314" s="287"/>
      <c r="I314" s="302"/>
      <c r="J314" s="303">
        <f t="shared" si="63"/>
        <v>-100</v>
      </c>
      <c r="K314" s="294" t="s">
        <v>3555</v>
      </c>
      <c r="L314" s="44">
        <v>1</v>
      </c>
      <c r="M314" s="308" t="s">
        <v>1903</v>
      </c>
      <c r="N314" s="308"/>
      <c r="O314" s="308" t="s">
        <v>556</v>
      </c>
      <c r="P314" s="314" t="s">
        <v>3733</v>
      </c>
    </row>
    <row r="315" s="107" customFormat="1" ht="20.1" customHeight="1" spans="1:16">
      <c r="A315" s="283" t="s">
        <v>558</v>
      </c>
      <c r="B315" s="284" t="s">
        <v>1905</v>
      </c>
      <c r="C315" s="285">
        <f t="shared" ref="C315:I315" si="65">SUM(C316:C325)</f>
        <v>8323</v>
      </c>
      <c r="D315" s="285">
        <f t="shared" si="60"/>
        <v>6943</v>
      </c>
      <c r="E315" s="285">
        <f t="shared" si="65"/>
        <v>0</v>
      </c>
      <c r="F315" s="285">
        <f t="shared" si="65"/>
        <v>0</v>
      </c>
      <c r="G315" s="285">
        <f t="shared" si="65"/>
        <v>108</v>
      </c>
      <c r="H315" s="285">
        <f t="shared" si="65"/>
        <v>0</v>
      </c>
      <c r="I315" s="285">
        <f t="shared" si="65"/>
        <v>6835</v>
      </c>
      <c r="J315" s="299">
        <f t="shared" si="63"/>
        <v>83.42</v>
      </c>
      <c r="K315" s="300" t="s">
        <v>3551</v>
      </c>
      <c r="L315" s="301"/>
      <c r="M315" s="312" t="s">
        <v>558</v>
      </c>
      <c r="N315" s="312" t="s">
        <v>554</v>
      </c>
      <c r="O315" s="312" t="s">
        <v>558</v>
      </c>
      <c r="P315" s="313" t="s">
        <v>3734</v>
      </c>
    </row>
    <row r="316" s="106" customFormat="1" ht="20.1" customHeight="1" spans="1:16">
      <c r="A316" s="279" t="s">
        <v>1906</v>
      </c>
      <c r="B316" s="289" t="s">
        <v>1458</v>
      </c>
      <c r="C316" s="287">
        <v>6020</v>
      </c>
      <c r="D316" s="288">
        <f t="shared" si="60"/>
        <v>5833</v>
      </c>
      <c r="E316" s="287"/>
      <c r="F316" s="287"/>
      <c r="G316" s="287"/>
      <c r="H316" s="287"/>
      <c r="I316" s="302">
        <v>5833</v>
      </c>
      <c r="J316" s="303">
        <f t="shared" si="63"/>
        <v>96.89</v>
      </c>
      <c r="K316" s="294" t="s">
        <v>3555</v>
      </c>
      <c r="L316" s="44">
        <v>1</v>
      </c>
      <c r="M316" s="308" t="s">
        <v>1906</v>
      </c>
      <c r="N316" s="308"/>
      <c r="O316" s="308" t="s">
        <v>558</v>
      </c>
      <c r="P316" s="314" t="s">
        <v>3556</v>
      </c>
    </row>
    <row r="317" s="106" customFormat="1" ht="20.1" customHeight="1" spans="1:16">
      <c r="A317" s="279" t="s">
        <v>1907</v>
      </c>
      <c r="B317" s="41" t="s">
        <v>1460</v>
      </c>
      <c r="C317" s="287">
        <v>5</v>
      </c>
      <c r="D317" s="288">
        <f t="shared" si="60"/>
        <v>5</v>
      </c>
      <c r="E317" s="287"/>
      <c r="F317" s="287"/>
      <c r="G317" s="287"/>
      <c r="H317" s="287"/>
      <c r="I317" s="302">
        <v>5</v>
      </c>
      <c r="J317" s="303">
        <f t="shared" si="63"/>
        <v>100</v>
      </c>
      <c r="K317" s="294" t="s">
        <v>3555</v>
      </c>
      <c r="L317" s="44">
        <v>1</v>
      </c>
      <c r="M317" s="308" t="s">
        <v>1907</v>
      </c>
      <c r="N317" s="308"/>
      <c r="O317" s="308" t="s">
        <v>558</v>
      </c>
      <c r="P317" s="314" t="s">
        <v>3557</v>
      </c>
    </row>
    <row r="318" s="106" customFormat="1" ht="20.1" customHeight="1" spans="1:16">
      <c r="A318" s="279" t="s">
        <v>1908</v>
      </c>
      <c r="B318" s="286" t="s">
        <v>1462</v>
      </c>
      <c r="C318" s="287">
        <v>292</v>
      </c>
      <c r="D318" s="288">
        <f t="shared" si="60"/>
        <v>361</v>
      </c>
      <c r="E318" s="287"/>
      <c r="F318" s="287"/>
      <c r="G318" s="287"/>
      <c r="H318" s="287"/>
      <c r="I318" s="322">
        <v>361</v>
      </c>
      <c r="J318" s="303">
        <f t="shared" si="63"/>
        <v>123.63</v>
      </c>
      <c r="K318" s="294" t="s">
        <v>3555</v>
      </c>
      <c r="L318" s="44">
        <v>1</v>
      </c>
      <c r="M318" s="308" t="s">
        <v>1908</v>
      </c>
      <c r="N318" s="308"/>
      <c r="O318" s="308" t="s">
        <v>558</v>
      </c>
      <c r="P318" s="314" t="s">
        <v>3558</v>
      </c>
    </row>
    <row r="319" s="106" customFormat="1" ht="20.1" customHeight="1" spans="1:16">
      <c r="A319" s="279" t="s">
        <v>1909</v>
      </c>
      <c r="B319" s="289" t="s">
        <v>1553</v>
      </c>
      <c r="C319" s="287"/>
      <c r="D319" s="288">
        <f t="shared" si="60"/>
        <v>0</v>
      </c>
      <c r="E319" s="287"/>
      <c r="F319" s="287"/>
      <c r="G319" s="287"/>
      <c r="H319" s="287"/>
      <c r="I319" s="302"/>
      <c r="J319" s="303">
        <f t="shared" si="63"/>
        <v>0</v>
      </c>
      <c r="K319" s="294" t="s">
        <v>3555</v>
      </c>
      <c r="L319" s="44">
        <v>1</v>
      </c>
      <c r="M319" s="308" t="s">
        <v>1909</v>
      </c>
      <c r="N319" s="308"/>
      <c r="O319" s="308" t="s">
        <v>558</v>
      </c>
      <c r="P319" s="314" t="s">
        <v>3596</v>
      </c>
    </row>
    <row r="320" s="106" customFormat="1" ht="20.1" customHeight="1" spans="1:16">
      <c r="A320" s="279" t="s">
        <v>1910</v>
      </c>
      <c r="B320" s="289" t="s">
        <v>1911</v>
      </c>
      <c r="C320" s="287">
        <v>1280</v>
      </c>
      <c r="D320" s="288">
        <f t="shared" si="60"/>
        <v>87</v>
      </c>
      <c r="E320" s="287"/>
      <c r="F320" s="287"/>
      <c r="G320" s="287">
        <v>87</v>
      </c>
      <c r="H320" s="287"/>
      <c r="I320" s="302"/>
      <c r="J320" s="303">
        <f t="shared" si="63"/>
        <v>6.8</v>
      </c>
      <c r="K320" s="294" t="s">
        <v>3555</v>
      </c>
      <c r="L320" s="44">
        <v>1</v>
      </c>
      <c r="M320" s="308" t="s">
        <v>1910</v>
      </c>
      <c r="N320" s="308"/>
      <c r="O320" s="308" t="s">
        <v>558</v>
      </c>
      <c r="P320" s="314" t="s">
        <v>3735</v>
      </c>
    </row>
    <row r="321" s="106" customFormat="1" ht="20.1" customHeight="1" spans="1:16">
      <c r="A321" s="279" t="s">
        <v>1912</v>
      </c>
      <c r="B321" s="289" t="s">
        <v>1913</v>
      </c>
      <c r="C321" s="287"/>
      <c r="D321" s="288">
        <f t="shared" si="60"/>
        <v>0</v>
      </c>
      <c r="E321" s="287"/>
      <c r="F321" s="287"/>
      <c r="G321" s="287"/>
      <c r="H321" s="287"/>
      <c r="I321" s="302"/>
      <c r="J321" s="303">
        <f t="shared" si="63"/>
        <v>0</v>
      </c>
      <c r="K321" s="294" t="s">
        <v>3555</v>
      </c>
      <c r="L321" s="44">
        <v>1</v>
      </c>
      <c r="M321" s="308" t="s">
        <v>1912</v>
      </c>
      <c r="N321" s="308"/>
      <c r="O321" s="308" t="s">
        <v>558</v>
      </c>
      <c r="P321" s="314" t="s">
        <v>3736</v>
      </c>
    </row>
    <row r="322" s="106" customFormat="1" ht="20.1" customHeight="1" spans="1:16">
      <c r="A322" s="279" t="s">
        <v>1914</v>
      </c>
      <c r="B322" s="289" t="s">
        <v>1915</v>
      </c>
      <c r="C322" s="287"/>
      <c r="D322" s="288"/>
      <c r="E322" s="287"/>
      <c r="F322" s="287"/>
      <c r="G322" s="287"/>
      <c r="H322" s="287"/>
      <c r="I322" s="302"/>
      <c r="J322" s="303"/>
      <c r="K322" s="294" t="s">
        <v>3555</v>
      </c>
      <c r="L322" s="44">
        <v>2</v>
      </c>
      <c r="M322" s="308" t="s">
        <v>1914</v>
      </c>
      <c r="N322" s="308"/>
      <c r="O322" s="308" t="s">
        <v>558</v>
      </c>
      <c r="P322" s="314" t="s">
        <v>3737</v>
      </c>
    </row>
    <row r="323" s="106" customFormat="1" ht="20.1" customHeight="1" spans="1:16">
      <c r="A323" s="279" t="s">
        <v>1916</v>
      </c>
      <c r="B323" s="289" t="s">
        <v>1917</v>
      </c>
      <c r="C323" s="287"/>
      <c r="D323" s="288"/>
      <c r="E323" s="287"/>
      <c r="F323" s="287"/>
      <c r="G323" s="287"/>
      <c r="H323" s="287"/>
      <c r="I323" s="302"/>
      <c r="J323" s="303"/>
      <c r="K323" s="294" t="s">
        <v>3555</v>
      </c>
      <c r="L323" s="44">
        <v>3</v>
      </c>
      <c r="M323" s="308" t="s">
        <v>1916</v>
      </c>
      <c r="N323" s="308"/>
      <c r="O323" s="308" t="s">
        <v>558</v>
      </c>
      <c r="P323" s="314" t="s">
        <v>3738</v>
      </c>
    </row>
    <row r="324" s="106" customFormat="1" ht="20.1" customHeight="1" spans="1:16">
      <c r="A324" s="279" t="s">
        <v>1918</v>
      </c>
      <c r="B324" s="289" t="s">
        <v>1476</v>
      </c>
      <c r="C324" s="287"/>
      <c r="D324" s="288">
        <f t="shared" ref="D324:D387" si="66">SUM(E324:I324)</f>
        <v>0</v>
      </c>
      <c r="E324" s="287"/>
      <c r="F324" s="287"/>
      <c r="G324" s="287"/>
      <c r="H324" s="287"/>
      <c r="I324" s="302"/>
      <c r="J324" s="303">
        <f t="shared" ref="J324:J387" si="67">ROUND(IF(C324=0,IF(D324=0,0,1),IF(D324=0,-1,D324/C324)),4)*100</f>
        <v>0</v>
      </c>
      <c r="K324" s="294" t="s">
        <v>3555</v>
      </c>
      <c r="L324" s="44">
        <v>1</v>
      </c>
      <c r="M324" s="308" t="s">
        <v>1918</v>
      </c>
      <c r="N324" s="308"/>
      <c r="O324" s="308" t="s">
        <v>558</v>
      </c>
      <c r="P324" s="314" t="s">
        <v>3565</v>
      </c>
    </row>
    <row r="325" s="106" customFormat="1" ht="20.1" customHeight="1" spans="1:16">
      <c r="A325" s="279" t="s">
        <v>1919</v>
      </c>
      <c r="B325" s="289" t="s">
        <v>1920</v>
      </c>
      <c r="C325" s="287">
        <v>726</v>
      </c>
      <c r="D325" s="288">
        <f t="shared" si="66"/>
        <v>657</v>
      </c>
      <c r="E325" s="287"/>
      <c r="F325" s="287"/>
      <c r="G325" s="287">
        <v>21</v>
      </c>
      <c r="H325" s="287"/>
      <c r="I325" s="302">
        <v>636</v>
      </c>
      <c r="J325" s="303">
        <f t="shared" si="67"/>
        <v>90.5</v>
      </c>
      <c r="K325" s="294" t="s">
        <v>3555</v>
      </c>
      <c r="L325" s="44">
        <v>1</v>
      </c>
      <c r="M325" s="308" t="s">
        <v>1919</v>
      </c>
      <c r="N325" s="308"/>
      <c r="O325" s="308" t="s">
        <v>558</v>
      </c>
      <c r="P325" s="309" t="s">
        <v>3739</v>
      </c>
    </row>
    <row r="326" s="107" customFormat="1" ht="20.1" customHeight="1" spans="1:16">
      <c r="A326" s="283" t="s">
        <v>560</v>
      </c>
      <c r="B326" s="284" t="s">
        <v>1921</v>
      </c>
      <c r="C326" s="285">
        <f t="shared" ref="C326:I326" si="68">SUM(C327:C332)</f>
        <v>0</v>
      </c>
      <c r="D326" s="285">
        <f t="shared" si="66"/>
        <v>1</v>
      </c>
      <c r="E326" s="285">
        <f t="shared" si="68"/>
        <v>0</v>
      </c>
      <c r="F326" s="285">
        <f t="shared" si="68"/>
        <v>0</v>
      </c>
      <c r="G326" s="285">
        <f t="shared" si="68"/>
        <v>0</v>
      </c>
      <c r="H326" s="285">
        <f t="shared" si="68"/>
        <v>0</v>
      </c>
      <c r="I326" s="285">
        <f t="shared" si="68"/>
        <v>1</v>
      </c>
      <c r="J326" s="299">
        <f t="shared" si="67"/>
        <v>100</v>
      </c>
      <c r="K326" s="300" t="s">
        <v>3551</v>
      </c>
      <c r="L326" s="301"/>
      <c r="M326" s="312" t="s">
        <v>560</v>
      </c>
      <c r="N326" s="312" t="s">
        <v>554</v>
      </c>
      <c r="O326" s="312" t="s">
        <v>560</v>
      </c>
      <c r="P326" s="313" t="s">
        <v>3740</v>
      </c>
    </row>
    <row r="327" s="106" customFormat="1" ht="20.1" customHeight="1" spans="1:16">
      <c r="A327" s="279" t="s">
        <v>1922</v>
      </c>
      <c r="B327" s="286" t="s">
        <v>1458</v>
      </c>
      <c r="C327" s="287">
        <v>0</v>
      </c>
      <c r="D327" s="288">
        <f t="shared" si="66"/>
        <v>0</v>
      </c>
      <c r="E327" s="287"/>
      <c r="F327" s="287"/>
      <c r="G327" s="287"/>
      <c r="H327" s="287"/>
      <c r="I327" s="302"/>
      <c r="J327" s="303">
        <f t="shared" si="67"/>
        <v>0</v>
      </c>
      <c r="K327" s="294" t="s">
        <v>3555</v>
      </c>
      <c r="L327" s="44">
        <v>1</v>
      </c>
      <c r="M327" s="308" t="s">
        <v>1922</v>
      </c>
      <c r="N327" s="308"/>
      <c r="O327" s="308" t="s">
        <v>560</v>
      </c>
      <c r="P327" s="314" t="s">
        <v>3556</v>
      </c>
    </row>
    <row r="328" s="106" customFormat="1" ht="20.1" customHeight="1" spans="1:16">
      <c r="A328" s="279" t="s">
        <v>1923</v>
      </c>
      <c r="B328" s="286" t="s">
        <v>1460</v>
      </c>
      <c r="C328" s="287">
        <v>0</v>
      </c>
      <c r="D328" s="288">
        <f t="shared" si="66"/>
        <v>0</v>
      </c>
      <c r="E328" s="287"/>
      <c r="F328" s="287"/>
      <c r="G328" s="287"/>
      <c r="H328" s="287"/>
      <c r="I328" s="302"/>
      <c r="J328" s="303">
        <f t="shared" si="67"/>
        <v>0</v>
      </c>
      <c r="K328" s="294" t="s">
        <v>3555</v>
      </c>
      <c r="L328" s="44">
        <v>1</v>
      </c>
      <c r="M328" s="308" t="s">
        <v>1923</v>
      </c>
      <c r="N328" s="308"/>
      <c r="O328" s="308" t="s">
        <v>560</v>
      </c>
      <c r="P328" s="314" t="s">
        <v>3557</v>
      </c>
    </row>
    <row r="329" s="106" customFormat="1" ht="20.1" customHeight="1" spans="1:16">
      <c r="A329" s="279" t="s">
        <v>1924</v>
      </c>
      <c r="B329" s="289" t="s">
        <v>1462</v>
      </c>
      <c r="C329" s="287"/>
      <c r="D329" s="288">
        <f t="shared" si="66"/>
        <v>0</v>
      </c>
      <c r="E329" s="287"/>
      <c r="F329" s="287"/>
      <c r="G329" s="287"/>
      <c r="H329" s="287"/>
      <c r="I329" s="302"/>
      <c r="J329" s="303">
        <f t="shared" si="67"/>
        <v>0</v>
      </c>
      <c r="K329" s="294" t="s">
        <v>3555</v>
      </c>
      <c r="L329" s="44">
        <v>1</v>
      </c>
      <c r="M329" s="308" t="s">
        <v>1924</v>
      </c>
      <c r="N329" s="308"/>
      <c r="O329" s="308" t="s">
        <v>560</v>
      </c>
      <c r="P329" s="314" t="s">
        <v>3558</v>
      </c>
    </row>
    <row r="330" s="106" customFormat="1" ht="20.1" customHeight="1" spans="1:16">
      <c r="A330" s="279" t="s">
        <v>1925</v>
      </c>
      <c r="B330" s="289" t="s">
        <v>1926</v>
      </c>
      <c r="C330" s="287">
        <v>0</v>
      </c>
      <c r="D330" s="288">
        <f t="shared" si="66"/>
        <v>0</v>
      </c>
      <c r="E330" s="287"/>
      <c r="F330" s="287"/>
      <c r="G330" s="287"/>
      <c r="H330" s="287"/>
      <c r="I330" s="302"/>
      <c r="J330" s="303">
        <f t="shared" si="67"/>
        <v>0</v>
      </c>
      <c r="K330" s="294" t="s">
        <v>3555</v>
      </c>
      <c r="L330" s="44">
        <v>1</v>
      </c>
      <c r="M330" s="308" t="s">
        <v>1925</v>
      </c>
      <c r="N330" s="308"/>
      <c r="O330" s="308" t="s">
        <v>560</v>
      </c>
      <c r="P330" s="309" t="s">
        <v>3741</v>
      </c>
    </row>
    <row r="331" s="106" customFormat="1" ht="20.1" customHeight="1" spans="1:16">
      <c r="A331" s="279" t="s">
        <v>1927</v>
      </c>
      <c r="B331" s="289" t="s">
        <v>1476</v>
      </c>
      <c r="C331" s="287">
        <v>0</v>
      </c>
      <c r="D331" s="288">
        <f t="shared" si="66"/>
        <v>0</v>
      </c>
      <c r="E331" s="287"/>
      <c r="F331" s="287"/>
      <c r="G331" s="287"/>
      <c r="H331" s="287"/>
      <c r="I331" s="302"/>
      <c r="J331" s="303">
        <f t="shared" si="67"/>
        <v>0</v>
      </c>
      <c r="K331" s="294" t="s">
        <v>3555</v>
      </c>
      <c r="L331" s="44">
        <v>1</v>
      </c>
      <c r="M331" s="308" t="s">
        <v>1927</v>
      </c>
      <c r="N331" s="308"/>
      <c r="O331" s="308" t="s">
        <v>560</v>
      </c>
      <c r="P331" s="314" t="s">
        <v>3565</v>
      </c>
    </row>
    <row r="332" s="106" customFormat="1" ht="20.1" customHeight="1" spans="1:16">
      <c r="A332" s="279" t="s">
        <v>1928</v>
      </c>
      <c r="B332" s="41" t="s">
        <v>1929</v>
      </c>
      <c r="C332" s="287"/>
      <c r="D332" s="288">
        <f t="shared" si="66"/>
        <v>1</v>
      </c>
      <c r="E332" s="287"/>
      <c r="F332" s="287"/>
      <c r="G332" s="287"/>
      <c r="H332" s="287"/>
      <c r="I332" s="302">
        <v>1</v>
      </c>
      <c r="J332" s="303">
        <f t="shared" si="67"/>
        <v>100</v>
      </c>
      <c r="K332" s="294" t="s">
        <v>3555</v>
      </c>
      <c r="L332" s="44">
        <v>1</v>
      </c>
      <c r="M332" s="308" t="s">
        <v>1928</v>
      </c>
      <c r="N332" s="308"/>
      <c r="O332" s="308" t="s">
        <v>560</v>
      </c>
      <c r="P332" s="309" t="s">
        <v>3742</v>
      </c>
    </row>
    <row r="333" s="107" customFormat="1" ht="20.1" customHeight="1" spans="1:16">
      <c r="A333" s="283" t="s">
        <v>562</v>
      </c>
      <c r="B333" s="284" t="s">
        <v>1930</v>
      </c>
      <c r="C333" s="285">
        <f t="shared" ref="C333:I333" si="69">SUM(C334:C340)</f>
        <v>0</v>
      </c>
      <c r="D333" s="285">
        <f t="shared" si="66"/>
        <v>0</v>
      </c>
      <c r="E333" s="285">
        <f t="shared" si="69"/>
        <v>0</v>
      </c>
      <c r="F333" s="285">
        <f t="shared" si="69"/>
        <v>0</v>
      </c>
      <c r="G333" s="285">
        <f t="shared" si="69"/>
        <v>0</v>
      </c>
      <c r="H333" s="285">
        <f t="shared" si="69"/>
        <v>0</v>
      </c>
      <c r="I333" s="285">
        <f t="shared" si="69"/>
        <v>0</v>
      </c>
      <c r="J333" s="299">
        <f t="shared" si="67"/>
        <v>0</v>
      </c>
      <c r="K333" s="300" t="s">
        <v>3551</v>
      </c>
      <c r="L333" s="301"/>
      <c r="M333" s="312" t="s">
        <v>562</v>
      </c>
      <c r="N333" s="312" t="s">
        <v>554</v>
      </c>
      <c r="O333" s="312" t="s">
        <v>562</v>
      </c>
      <c r="P333" s="313" t="s">
        <v>3743</v>
      </c>
    </row>
    <row r="334" s="106" customFormat="1" ht="20.1" customHeight="1" spans="1:16">
      <c r="A334" s="279" t="s">
        <v>1931</v>
      </c>
      <c r="B334" s="286" t="s">
        <v>1458</v>
      </c>
      <c r="C334" s="287"/>
      <c r="D334" s="288">
        <f t="shared" si="66"/>
        <v>0</v>
      </c>
      <c r="E334" s="287"/>
      <c r="F334" s="287"/>
      <c r="G334" s="287"/>
      <c r="H334" s="287"/>
      <c r="I334" s="302"/>
      <c r="J334" s="303">
        <f t="shared" si="67"/>
        <v>0</v>
      </c>
      <c r="K334" s="294" t="s">
        <v>3555</v>
      </c>
      <c r="L334" s="44">
        <v>1</v>
      </c>
      <c r="M334" s="308" t="s">
        <v>1931</v>
      </c>
      <c r="N334" s="308"/>
      <c r="O334" s="308" t="s">
        <v>562</v>
      </c>
      <c r="P334" s="314" t="s">
        <v>3556</v>
      </c>
    </row>
    <row r="335" s="106" customFormat="1" ht="20.1" customHeight="1" spans="1:16">
      <c r="A335" s="279" t="s">
        <v>1932</v>
      </c>
      <c r="B335" s="286" t="s">
        <v>1460</v>
      </c>
      <c r="C335" s="287"/>
      <c r="D335" s="288">
        <f t="shared" si="66"/>
        <v>0</v>
      </c>
      <c r="E335" s="287"/>
      <c r="F335" s="287"/>
      <c r="G335" s="287"/>
      <c r="H335" s="287"/>
      <c r="I335" s="302"/>
      <c r="J335" s="303">
        <f t="shared" si="67"/>
        <v>0</v>
      </c>
      <c r="K335" s="294" t="s">
        <v>3555</v>
      </c>
      <c r="L335" s="44">
        <v>1</v>
      </c>
      <c r="M335" s="308" t="s">
        <v>1932</v>
      </c>
      <c r="N335" s="308"/>
      <c r="O335" s="308" t="s">
        <v>562</v>
      </c>
      <c r="P335" s="314" t="s">
        <v>3557</v>
      </c>
    </row>
    <row r="336" s="106" customFormat="1" ht="20.1" customHeight="1" spans="1:16">
      <c r="A336" s="279" t="s">
        <v>1933</v>
      </c>
      <c r="B336" s="289" t="s">
        <v>1462</v>
      </c>
      <c r="C336" s="287"/>
      <c r="D336" s="288">
        <f t="shared" si="66"/>
        <v>0</v>
      </c>
      <c r="E336" s="287"/>
      <c r="F336" s="287"/>
      <c r="G336" s="287"/>
      <c r="H336" s="287"/>
      <c r="I336" s="302"/>
      <c r="J336" s="303">
        <f t="shared" si="67"/>
        <v>0</v>
      </c>
      <c r="K336" s="294" t="s">
        <v>3555</v>
      </c>
      <c r="L336" s="44">
        <v>1</v>
      </c>
      <c r="M336" s="308" t="s">
        <v>1933</v>
      </c>
      <c r="N336" s="308"/>
      <c r="O336" s="308" t="s">
        <v>562</v>
      </c>
      <c r="P336" s="314" t="s">
        <v>3558</v>
      </c>
    </row>
    <row r="337" s="106" customFormat="1" ht="20.1" customHeight="1" spans="1:16">
      <c r="A337" s="279" t="s">
        <v>1934</v>
      </c>
      <c r="B337" s="289" t="s">
        <v>1935</v>
      </c>
      <c r="C337" s="287"/>
      <c r="D337" s="288">
        <f t="shared" si="66"/>
        <v>0</v>
      </c>
      <c r="E337" s="287"/>
      <c r="F337" s="287"/>
      <c r="G337" s="287"/>
      <c r="H337" s="287"/>
      <c r="I337" s="302"/>
      <c r="J337" s="303">
        <f t="shared" si="67"/>
        <v>0</v>
      </c>
      <c r="K337" s="294" t="s">
        <v>3555</v>
      </c>
      <c r="L337" s="44">
        <v>1</v>
      </c>
      <c r="M337" s="308" t="s">
        <v>1934</v>
      </c>
      <c r="N337" s="308"/>
      <c r="O337" s="308" t="s">
        <v>562</v>
      </c>
      <c r="P337" s="309" t="s">
        <v>3744</v>
      </c>
    </row>
    <row r="338" s="106" customFormat="1" ht="20.1" customHeight="1" spans="1:16">
      <c r="A338" s="279" t="s">
        <v>1936</v>
      </c>
      <c r="B338" s="289" t="s">
        <v>1937</v>
      </c>
      <c r="C338" s="287"/>
      <c r="D338" s="288">
        <f t="shared" si="66"/>
        <v>0</v>
      </c>
      <c r="E338" s="287"/>
      <c r="F338" s="287"/>
      <c r="G338" s="287"/>
      <c r="H338" s="287"/>
      <c r="I338" s="302"/>
      <c r="J338" s="303">
        <f t="shared" si="67"/>
        <v>0</v>
      </c>
      <c r="K338" s="294" t="s">
        <v>3555</v>
      </c>
      <c r="L338" s="44">
        <v>1</v>
      </c>
      <c r="M338" s="308" t="s">
        <v>1936</v>
      </c>
      <c r="N338" s="308"/>
      <c r="O338" s="308" t="s">
        <v>562</v>
      </c>
      <c r="P338" s="314" t="s">
        <v>3745</v>
      </c>
    </row>
    <row r="339" s="106" customFormat="1" ht="20.1" customHeight="1" spans="1:16">
      <c r="A339" s="279" t="s">
        <v>1938</v>
      </c>
      <c r="B339" s="289" t="s">
        <v>1476</v>
      </c>
      <c r="C339" s="287"/>
      <c r="D339" s="288">
        <f t="shared" si="66"/>
        <v>0</v>
      </c>
      <c r="E339" s="287"/>
      <c r="F339" s="287"/>
      <c r="G339" s="287"/>
      <c r="H339" s="287"/>
      <c r="I339" s="302"/>
      <c r="J339" s="303">
        <f t="shared" si="67"/>
        <v>0</v>
      </c>
      <c r="K339" s="294" t="s">
        <v>3555</v>
      </c>
      <c r="L339" s="44">
        <v>1</v>
      </c>
      <c r="M339" s="308" t="s">
        <v>1938</v>
      </c>
      <c r="N339" s="308"/>
      <c r="O339" s="308" t="s">
        <v>562</v>
      </c>
      <c r="P339" s="314" t="s">
        <v>3565</v>
      </c>
    </row>
    <row r="340" s="106" customFormat="1" ht="20.1" customHeight="1" spans="1:16">
      <c r="A340" s="279" t="s">
        <v>1939</v>
      </c>
      <c r="B340" s="289" t="s">
        <v>1940</v>
      </c>
      <c r="C340" s="287"/>
      <c r="D340" s="288">
        <f t="shared" si="66"/>
        <v>0</v>
      </c>
      <c r="E340" s="287"/>
      <c r="F340" s="287"/>
      <c r="G340" s="287"/>
      <c r="H340" s="287"/>
      <c r="I340" s="302"/>
      <c r="J340" s="303">
        <f t="shared" si="67"/>
        <v>0</v>
      </c>
      <c r="K340" s="294" t="s">
        <v>3555</v>
      </c>
      <c r="L340" s="44">
        <v>1</v>
      </c>
      <c r="M340" s="308" t="s">
        <v>1939</v>
      </c>
      <c r="N340" s="308"/>
      <c r="O340" s="308" t="s">
        <v>562</v>
      </c>
      <c r="P340" s="309" t="s">
        <v>3746</v>
      </c>
    </row>
    <row r="341" s="107" customFormat="1" ht="20.1" customHeight="1" spans="1:16">
      <c r="A341" s="283" t="s">
        <v>564</v>
      </c>
      <c r="B341" s="284" t="s">
        <v>1941</v>
      </c>
      <c r="C341" s="285">
        <f t="shared" ref="C341:I341" si="70">SUM(C342:C349)</f>
        <v>0</v>
      </c>
      <c r="D341" s="285">
        <f t="shared" si="66"/>
        <v>0</v>
      </c>
      <c r="E341" s="285">
        <f t="shared" si="70"/>
        <v>0</v>
      </c>
      <c r="F341" s="285">
        <f t="shared" si="70"/>
        <v>0</v>
      </c>
      <c r="G341" s="285">
        <f t="shared" si="70"/>
        <v>0</v>
      </c>
      <c r="H341" s="285">
        <f t="shared" si="70"/>
        <v>0</v>
      </c>
      <c r="I341" s="285">
        <f t="shared" si="70"/>
        <v>0</v>
      </c>
      <c r="J341" s="299">
        <f t="shared" si="67"/>
        <v>0</v>
      </c>
      <c r="K341" s="300" t="s">
        <v>3551</v>
      </c>
      <c r="L341" s="301"/>
      <c r="M341" s="312" t="s">
        <v>564</v>
      </c>
      <c r="N341" s="312" t="s">
        <v>554</v>
      </c>
      <c r="O341" s="312" t="s">
        <v>564</v>
      </c>
      <c r="P341" s="313" t="s">
        <v>3747</v>
      </c>
    </row>
    <row r="342" s="106" customFormat="1" ht="20.1" customHeight="1" spans="1:16">
      <c r="A342" s="279" t="s">
        <v>1942</v>
      </c>
      <c r="B342" s="286" t="s">
        <v>1458</v>
      </c>
      <c r="C342" s="287"/>
      <c r="D342" s="288">
        <f t="shared" si="66"/>
        <v>0</v>
      </c>
      <c r="E342" s="287"/>
      <c r="F342" s="287"/>
      <c r="G342" s="287"/>
      <c r="H342" s="287"/>
      <c r="I342" s="302"/>
      <c r="J342" s="303">
        <f t="shared" si="67"/>
        <v>0</v>
      </c>
      <c r="K342" s="294" t="s">
        <v>3555</v>
      </c>
      <c r="L342" s="44">
        <v>1</v>
      </c>
      <c r="M342" s="308" t="s">
        <v>1942</v>
      </c>
      <c r="N342" s="308"/>
      <c r="O342" s="308" t="s">
        <v>564</v>
      </c>
      <c r="P342" s="314" t="s">
        <v>3556</v>
      </c>
    </row>
    <row r="343" s="106" customFormat="1" ht="20.1" customHeight="1" spans="1:16">
      <c r="A343" s="279" t="s">
        <v>1943</v>
      </c>
      <c r="B343" s="286" t="s">
        <v>1460</v>
      </c>
      <c r="C343" s="287"/>
      <c r="D343" s="288">
        <f t="shared" si="66"/>
        <v>0</v>
      </c>
      <c r="E343" s="287"/>
      <c r="F343" s="287"/>
      <c r="G343" s="287"/>
      <c r="H343" s="287"/>
      <c r="I343" s="302"/>
      <c r="J343" s="303">
        <f t="shared" si="67"/>
        <v>0</v>
      </c>
      <c r="K343" s="294" t="s">
        <v>3555</v>
      </c>
      <c r="L343" s="44">
        <v>1</v>
      </c>
      <c r="M343" s="308" t="s">
        <v>1943</v>
      </c>
      <c r="N343" s="308"/>
      <c r="O343" s="308" t="s">
        <v>564</v>
      </c>
      <c r="P343" s="314" t="s">
        <v>3557</v>
      </c>
    </row>
    <row r="344" s="106" customFormat="1" ht="20.1" customHeight="1" spans="1:16">
      <c r="A344" s="279" t="s">
        <v>1944</v>
      </c>
      <c r="B344" s="286" t="s">
        <v>1462</v>
      </c>
      <c r="C344" s="287"/>
      <c r="D344" s="288">
        <f t="shared" si="66"/>
        <v>0</v>
      </c>
      <c r="E344" s="287"/>
      <c r="F344" s="287"/>
      <c r="G344" s="287"/>
      <c r="H344" s="287"/>
      <c r="I344" s="302"/>
      <c r="J344" s="303">
        <f t="shared" si="67"/>
        <v>0</v>
      </c>
      <c r="K344" s="294" t="s">
        <v>3555</v>
      </c>
      <c r="L344" s="44">
        <v>1</v>
      </c>
      <c r="M344" s="308" t="s">
        <v>1944</v>
      </c>
      <c r="N344" s="308"/>
      <c r="O344" s="308" t="s">
        <v>564</v>
      </c>
      <c r="P344" s="314" t="s">
        <v>3558</v>
      </c>
    </row>
    <row r="345" s="106" customFormat="1" ht="20.1" customHeight="1" spans="1:16">
      <c r="A345" s="279" t="s">
        <v>1945</v>
      </c>
      <c r="B345" s="289" t="s">
        <v>1946</v>
      </c>
      <c r="C345" s="287"/>
      <c r="D345" s="288">
        <f t="shared" si="66"/>
        <v>0</v>
      </c>
      <c r="E345" s="287"/>
      <c r="F345" s="287"/>
      <c r="G345" s="287"/>
      <c r="H345" s="287"/>
      <c r="I345" s="302"/>
      <c r="J345" s="303">
        <f t="shared" si="67"/>
        <v>0</v>
      </c>
      <c r="K345" s="294" t="s">
        <v>3555</v>
      </c>
      <c r="L345" s="44">
        <v>1</v>
      </c>
      <c r="M345" s="308" t="s">
        <v>1945</v>
      </c>
      <c r="N345" s="308"/>
      <c r="O345" s="308" t="s">
        <v>564</v>
      </c>
      <c r="P345" s="309" t="s">
        <v>3748</v>
      </c>
    </row>
    <row r="346" s="106" customFormat="1" ht="20.1" customHeight="1" spans="1:16">
      <c r="A346" s="279" t="s">
        <v>1947</v>
      </c>
      <c r="B346" s="289" t="s">
        <v>1948</v>
      </c>
      <c r="C346" s="287"/>
      <c r="D346" s="288">
        <f t="shared" si="66"/>
        <v>0</v>
      </c>
      <c r="E346" s="287"/>
      <c r="F346" s="287"/>
      <c r="G346" s="287"/>
      <c r="H346" s="287"/>
      <c r="I346" s="302"/>
      <c r="J346" s="303">
        <f t="shared" si="67"/>
        <v>0</v>
      </c>
      <c r="K346" s="294" t="s">
        <v>3555</v>
      </c>
      <c r="L346" s="44">
        <v>1</v>
      </c>
      <c r="M346" s="308" t="s">
        <v>1947</v>
      </c>
      <c r="N346" s="308"/>
      <c r="O346" s="308" t="s">
        <v>564</v>
      </c>
      <c r="P346" s="309" t="s">
        <v>3749</v>
      </c>
    </row>
    <row r="347" s="106" customFormat="1" ht="20.1" customHeight="1" spans="1:16">
      <c r="A347" s="279" t="s">
        <v>1949</v>
      </c>
      <c r="B347" s="289" t="s">
        <v>1950</v>
      </c>
      <c r="C347" s="287"/>
      <c r="D347" s="288">
        <f t="shared" si="66"/>
        <v>0</v>
      </c>
      <c r="E347" s="287"/>
      <c r="F347" s="287"/>
      <c r="G347" s="287"/>
      <c r="H347" s="287"/>
      <c r="I347" s="302"/>
      <c r="J347" s="303">
        <f t="shared" si="67"/>
        <v>0</v>
      </c>
      <c r="K347" s="294" t="s">
        <v>3555</v>
      </c>
      <c r="L347" s="44">
        <v>1</v>
      </c>
      <c r="M347" s="308" t="s">
        <v>1949</v>
      </c>
      <c r="N347" s="308"/>
      <c r="O347" s="308" t="s">
        <v>564</v>
      </c>
      <c r="P347" s="309" t="s">
        <v>3750</v>
      </c>
    </row>
    <row r="348" s="106" customFormat="1" ht="20.1" customHeight="1" spans="1:16">
      <c r="A348" s="279" t="s">
        <v>1951</v>
      </c>
      <c r="B348" s="286" t="s">
        <v>1476</v>
      </c>
      <c r="C348" s="287"/>
      <c r="D348" s="288">
        <f t="shared" si="66"/>
        <v>0</v>
      </c>
      <c r="E348" s="287"/>
      <c r="F348" s="287"/>
      <c r="G348" s="287"/>
      <c r="H348" s="287"/>
      <c r="I348" s="302"/>
      <c r="J348" s="303">
        <f t="shared" si="67"/>
        <v>0</v>
      </c>
      <c r="K348" s="294" t="s">
        <v>3555</v>
      </c>
      <c r="L348" s="44">
        <v>1</v>
      </c>
      <c r="M348" s="308" t="s">
        <v>1951</v>
      </c>
      <c r="N348" s="308"/>
      <c r="O348" s="308" t="s">
        <v>564</v>
      </c>
      <c r="P348" s="314" t="s">
        <v>3565</v>
      </c>
    </row>
    <row r="349" s="106" customFormat="1" ht="20.1" customHeight="1" spans="1:16">
      <c r="A349" s="279" t="s">
        <v>1952</v>
      </c>
      <c r="B349" s="286" t="s">
        <v>1953</v>
      </c>
      <c r="C349" s="287"/>
      <c r="D349" s="288">
        <f t="shared" si="66"/>
        <v>0</v>
      </c>
      <c r="E349" s="287"/>
      <c r="F349" s="287"/>
      <c r="G349" s="287"/>
      <c r="H349" s="287"/>
      <c r="I349" s="302"/>
      <c r="J349" s="303">
        <f t="shared" si="67"/>
        <v>0</v>
      </c>
      <c r="K349" s="294" t="s">
        <v>3555</v>
      </c>
      <c r="L349" s="44">
        <v>1</v>
      </c>
      <c r="M349" s="308" t="s">
        <v>1952</v>
      </c>
      <c r="N349" s="308"/>
      <c r="O349" s="308" t="s">
        <v>564</v>
      </c>
      <c r="P349" s="309" t="s">
        <v>3751</v>
      </c>
    </row>
    <row r="350" s="107" customFormat="1" ht="20.1" customHeight="1" spans="1:16">
      <c r="A350" s="283" t="s">
        <v>566</v>
      </c>
      <c r="B350" s="284" t="s">
        <v>1954</v>
      </c>
      <c r="C350" s="285">
        <f t="shared" ref="C350:I350" si="71">SUM(C351:C363)</f>
        <v>966</v>
      </c>
      <c r="D350" s="285">
        <f t="shared" si="66"/>
        <v>827</v>
      </c>
      <c r="E350" s="285">
        <f t="shared" si="71"/>
        <v>22</v>
      </c>
      <c r="F350" s="285">
        <f t="shared" si="71"/>
        <v>0</v>
      </c>
      <c r="G350" s="285">
        <f t="shared" si="71"/>
        <v>15</v>
      </c>
      <c r="H350" s="285">
        <f t="shared" si="71"/>
        <v>0</v>
      </c>
      <c r="I350" s="285">
        <f t="shared" si="71"/>
        <v>790</v>
      </c>
      <c r="J350" s="299">
        <f t="shared" si="67"/>
        <v>85.61</v>
      </c>
      <c r="K350" s="300" t="s">
        <v>3551</v>
      </c>
      <c r="L350" s="301"/>
      <c r="M350" s="312" t="s">
        <v>566</v>
      </c>
      <c r="N350" s="312" t="s">
        <v>554</v>
      </c>
      <c r="O350" s="312" t="s">
        <v>566</v>
      </c>
      <c r="P350" s="313" t="s">
        <v>3752</v>
      </c>
    </row>
    <row r="351" s="106" customFormat="1" ht="20.1" customHeight="1" spans="1:16">
      <c r="A351" s="279" t="s">
        <v>1955</v>
      </c>
      <c r="B351" s="289" t="s">
        <v>1458</v>
      </c>
      <c r="C351" s="287">
        <v>744</v>
      </c>
      <c r="D351" s="288">
        <f t="shared" si="66"/>
        <v>733</v>
      </c>
      <c r="E351" s="287"/>
      <c r="F351" s="287"/>
      <c r="G351" s="287"/>
      <c r="H351" s="287"/>
      <c r="I351" s="302">
        <v>733</v>
      </c>
      <c r="J351" s="303">
        <f t="shared" si="67"/>
        <v>98.52</v>
      </c>
      <c r="K351" s="294" t="s">
        <v>3555</v>
      </c>
      <c r="L351" s="44">
        <v>1</v>
      </c>
      <c r="M351" s="308" t="s">
        <v>1955</v>
      </c>
      <c r="N351" s="308"/>
      <c r="O351" s="308" t="s">
        <v>566</v>
      </c>
      <c r="P351" s="314" t="s">
        <v>3556</v>
      </c>
    </row>
    <row r="352" s="106" customFormat="1" ht="20.1" customHeight="1" spans="1:16">
      <c r="A352" s="279" t="s">
        <v>1956</v>
      </c>
      <c r="B352" s="289" t="s">
        <v>1460</v>
      </c>
      <c r="C352" s="287"/>
      <c r="D352" s="288">
        <f t="shared" si="66"/>
        <v>0</v>
      </c>
      <c r="E352" s="287"/>
      <c r="F352" s="287"/>
      <c r="G352" s="287"/>
      <c r="H352" s="287"/>
      <c r="I352" s="302"/>
      <c r="J352" s="303">
        <f t="shared" si="67"/>
        <v>0</v>
      </c>
      <c r="K352" s="294" t="s">
        <v>3555</v>
      </c>
      <c r="L352" s="44">
        <v>1</v>
      </c>
      <c r="M352" s="308" t="s">
        <v>1956</v>
      </c>
      <c r="N352" s="308"/>
      <c r="O352" s="308" t="s">
        <v>566</v>
      </c>
      <c r="P352" s="314" t="s">
        <v>3557</v>
      </c>
    </row>
    <row r="353" s="106" customFormat="1" ht="20.1" customHeight="1" spans="1:16">
      <c r="A353" s="279" t="s">
        <v>1957</v>
      </c>
      <c r="B353" s="289" t="s">
        <v>1462</v>
      </c>
      <c r="C353" s="287"/>
      <c r="D353" s="288">
        <f t="shared" si="66"/>
        <v>0</v>
      </c>
      <c r="E353" s="287"/>
      <c r="F353" s="287"/>
      <c r="G353" s="287"/>
      <c r="H353" s="287"/>
      <c r="I353" s="302"/>
      <c r="J353" s="303">
        <f t="shared" si="67"/>
        <v>0</v>
      </c>
      <c r="K353" s="294" t="s">
        <v>3555</v>
      </c>
      <c r="L353" s="44">
        <v>1</v>
      </c>
      <c r="M353" s="308" t="s">
        <v>1957</v>
      </c>
      <c r="N353" s="308"/>
      <c r="O353" s="308" t="s">
        <v>566</v>
      </c>
      <c r="P353" s="314" t="s">
        <v>3558</v>
      </c>
    </row>
    <row r="354" s="106" customFormat="1" ht="20.1" customHeight="1" spans="1:16">
      <c r="A354" s="279" t="s">
        <v>1958</v>
      </c>
      <c r="B354" s="41" t="s">
        <v>1959</v>
      </c>
      <c r="C354" s="287">
        <v>15</v>
      </c>
      <c r="D354" s="288">
        <f t="shared" si="66"/>
        <v>15</v>
      </c>
      <c r="E354" s="287">
        <v>7</v>
      </c>
      <c r="F354" s="287"/>
      <c r="G354" s="287">
        <v>8</v>
      </c>
      <c r="H354" s="287"/>
      <c r="I354" s="302"/>
      <c r="J354" s="303">
        <f t="shared" si="67"/>
        <v>100</v>
      </c>
      <c r="K354" s="294" t="s">
        <v>3555</v>
      </c>
      <c r="L354" s="44">
        <v>1</v>
      </c>
      <c r="M354" s="308" t="s">
        <v>1958</v>
      </c>
      <c r="N354" s="308"/>
      <c r="O354" s="308" t="s">
        <v>566</v>
      </c>
      <c r="P354" s="309" t="s">
        <v>3753</v>
      </c>
    </row>
    <row r="355" s="106" customFormat="1" ht="20.1" customHeight="1" spans="1:16">
      <c r="A355" s="279" t="s">
        <v>1960</v>
      </c>
      <c r="B355" s="286" t="s">
        <v>1961</v>
      </c>
      <c r="C355" s="287"/>
      <c r="D355" s="288">
        <f t="shared" si="66"/>
        <v>32</v>
      </c>
      <c r="E355" s="287"/>
      <c r="F355" s="287"/>
      <c r="G355" s="287"/>
      <c r="H355" s="287"/>
      <c r="I355" s="302">
        <v>32</v>
      </c>
      <c r="J355" s="303">
        <f t="shared" si="67"/>
        <v>100</v>
      </c>
      <c r="K355" s="294" t="s">
        <v>3555</v>
      </c>
      <c r="L355" s="44">
        <v>1</v>
      </c>
      <c r="M355" s="308" t="s">
        <v>1960</v>
      </c>
      <c r="N355" s="308"/>
      <c r="O355" s="308" t="s">
        <v>566</v>
      </c>
      <c r="P355" s="309" t="s">
        <v>3754</v>
      </c>
    </row>
    <row r="356" s="106" customFormat="1" ht="20.1" customHeight="1" spans="1:16">
      <c r="A356" s="279" t="s">
        <v>1962</v>
      </c>
      <c r="B356" s="286" t="s">
        <v>1963</v>
      </c>
      <c r="C356" s="287"/>
      <c r="D356" s="288">
        <f t="shared" si="66"/>
        <v>25</v>
      </c>
      <c r="E356" s="287"/>
      <c r="F356" s="287"/>
      <c r="G356" s="287"/>
      <c r="H356" s="287"/>
      <c r="I356" s="302">
        <v>25</v>
      </c>
      <c r="J356" s="303">
        <f t="shared" si="67"/>
        <v>100</v>
      </c>
      <c r="K356" s="294" t="s">
        <v>3555</v>
      </c>
      <c r="L356" s="44">
        <v>1</v>
      </c>
      <c r="M356" s="308" t="s">
        <v>1962</v>
      </c>
      <c r="N356" s="308"/>
      <c r="O356" s="308" t="s">
        <v>566</v>
      </c>
      <c r="P356" s="309" t="s">
        <v>3755</v>
      </c>
    </row>
    <row r="357" s="106" customFormat="1" ht="20.1" customHeight="1" spans="1:16">
      <c r="A357" s="279" t="s">
        <v>1964</v>
      </c>
      <c r="B357" s="286" t="s">
        <v>1965</v>
      </c>
      <c r="C357" s="287">
        <v>6</v>
      </c>
      <c r="D357" s="288">
        <f t="shared" si="66"/>
        <v>6</v>
      </c>
      <c r="E357" s="287"/>
      <c r="F357" s="287"/>
      <c r="G357" s="287">
        <v>6</v>
      </c>
      <c r="H357" s="287"/>
      <c r="I357" s="302"/>
      <c r="J357" s="303">
        <f t="shared" si="67"/>
        <v>100</v>
      </c>
      <c r="K357" s="294" t="s">
        <v>3555</v>
      </c>
      <c r="L357" s="44">
        <v>1</v>
      </c>
      <c r="M357" s="308" t="s">
        <v>1964</v>
      </c>
      <c r="N357" s="308"/>
      <c r="O357" s="308" t="s">
        <v>566</v>
      </c>
      <c r="P357" s="309" t="s">
        <v>3756</v>
      </c>
    </row>
    <row r="358" s="106" customFormat="1" ht="20.1" customHeight="1" spans="1:16">
      <c r="A358" s="279" t="s">
        <v>1966</v>
      </c>
      <c r="B358" s="289" t="s">
        <v>1967</v>
      </c>
      <c r="C358" s="287"/>
      <c r="D358" s="288">
        <f t="shared" si="66"/>
        <v>0</v>
      </c>
      <c r="E358" s="287"/>
      <c r="F358" s="287"/>
      <c r="G358" s="287"/>
      <c r="H358" s="287"/>
      <c r="I358" s="302"/>
      <c r="J358" s="303">
        <f t="shared" si="67"/>
        <v>0</v>
      </c>
      <c r="K358" s="294" t="s">
        <v>3555</v>
      </c>
      <c r="L358" s="44">
        <v>1</v>
      </c>
      <c r="M358" s="308" t="s">
        <v>1966</v>
      </c>
      <c r="N358" s="308"/>
      <c r="O358" s="308" t="s">
        <v>566</v>
      </c>
      <c r="P358" s="309" t="s">
        <v>3757</v>
      </c>
    </row>
    <row r="359" s="106" customFormat="1" ht="20.1" customHeight="1" spans="1:16">
      <c r="A359" s="279" t="s">
        <v>1968</v>
      </c>
      <c r="B359" s="289" t="s">
        <v>1969</v>
      </c>
      <c r="C359" s="287"/>
      <c r="D359" s="288">
        <f t="shared" si="66"/>
        <v>15</v>
      </c>
      <c r="E359" s="287">
        <v>15</v>
      </c>
      <c r="F359" s="287"/>
      <c r="G359" s="287"/>
      <c r="H359" s="287"/>
      <c r="I359" s="302"/>
      <c r="J359" s="303">
        <f t="shared" si="67"/>
        <v>100</v>
      </c>
      <c r="K359" s="294" t="s">
        <v>3555</v>
      </c>
      <c r="L359" s="44">
        <v>1</v>
      </c>
      <c r="M359" s="308" t="s">
        <v>1968</v>
      </c>
      <c r="N359" s="308"/>
      <c r="O359" s="308" t="s">
        <v>566</v>
      </c>
      <c r="P359" s="309" t="s">
        <v>3758</v>
      </c>
    </row>
    <row r="360" s="106" customFormat="1" ht="20.1" customHeight="1" spans="1:16">
      <c r="A360" s="279" t="s">
        <v>1970</v>
      </c>
      <c r="B360" s="289" t="s">
        <v>1971</v>
      </c>
      <c r="C360" s="287"/>
      <c r="D360" s="288">
        <f t="shared" si="66"/>
        <v>0</v>
      </c>
      <c r="E360" s="287"/>
      <c r="F360" s="287"/>
      <c r="G360" s="287"/>
      <c r="H360" s="287"/>
      <c r="I360" s="302"/>
      <c r="J360" s="303">
        <f t="shared" si="67"/>
        <v>0</v>
      </c>
      <c r="K360" s="294" t="s">
        <v>3555</v>
      </c>
      <c r="L360" s="44">
        <v>1</v>
      </c>
      <c r="M360" s="308" t="s">
        <v>1970</v>
      </c>
      <c r="N360" s="308"/>
      <c r="O360" s="308" t="s">
        <v>566</v>
      </c>
      <c r="P360" s="314" t="s">
        <v>3759</v>
      </c>
    </row>
    <row r="361" s="106" customFormat="1" ht="20.1" customHeight="1" spans="1:16">
      <c r="A361" s="279" t="s">
        <v>1972</v>
      </c>
      <c r="B361" s="289" t="s">
        <v>1553</v>
      </c>
      <c r="C361" s="287"/>
      <c r="D361" s="288">
        <f t="shared" si="66"/>
        <v>0</v>
      </c>
      <c r="E361" s="287"/>
      <c r="F361" s="287"/>
      <c r="G361" s="287"/>
      <c r="H361" s="287"/>
      <c r="I361" s="302"/>
      <c r="J361" s="303">
        <f t="shared" si="67"/>
        <v>0</v>
      </c>
      <c r="K361" s="294" t="s">
        <v>3555</v>
      </c>
      <c r="L361" s="44">
        <v>1</v>
      </c>
      <c r="M361" s="308" t="s">
        <v>1972</v>
      </c>
      <c r="N361" s="308"/>
      <c r="O361" s="308" t="s">
        <v>566</v>
      </c>
      <c r="P361" s="314" t="s">
        <v>3596</v>
      </c>
    </row>
    <row r="362" s="106" customFormat="1" ht="20.1" customHeight="1" spans="1:16">
      <c r="A362" s="279" t="s">
        <v>1973</v>
      </c>
      <c r="B362" s="289" t="s">
        <v>1476</v>
      </c>
      <c r="C362" s="287"/>
      <c r="D362" s="288">
        <f t="shared" si="66"/>
        <v>0</v>
      </c>
      <c r="E362" s="287"/>
      <c r="F362" s="287"/>
      <c r="G362" s="287"/>
      <c r="H362" s="287"/>
      <c r="I362" s="302"/>
      <c r="J362" s="303">
        <f t="shared" si="67"/>
        <v>0</v>
      </c>
      <c r="K362" s="294" t="s">
        <v>3555</v>
      </c>
      <c r="L362" s="44">
        <v>1</v>
      </c>
      <c r="M362" s="308" t="s">
        <v>1973</v>
      </c>
      <c r="N362" s="308"/>
      <c r="O362" s="308" t="s">
        <v>566</v>
      </c>
      <c r="P362" s="314" t="s">
        <v>3565</v>
      </c>
    </row>
    <row r="363" s="106" customFormat="1" ht="20.1" customHeight="1" spans="1:16">
      <c r="A363" s="279" t="s">
        <v>1974</v>
      </c>
      <c r="B363" s="286" t="s">
        <v>1975</v>
      </c>
      <c r="C363" s="287">
        <v>201</v>
      </c>
      <c r="D363" s="288">
        <f t="shared" si="66"/>
        <v>1</v>
      </c>
      <c r="E363" s="287"/>
      <c r="F363" s="287"/>
      <c r="G363" s="287">
        <v>1</v>
      </c>
      <c r="H363" s="287"/>
      <c r="I363" s="302"/>
      <c r="J363" s="303">
        <f t="shared" si="67"/>
        <v>0.5</v>
      </c>
      <c r="K363" s="294" t="s">
        <v>3555</v>
      </c>
      <c r="L363" s="44">
        <v>1</v>
      </c>
      <c r="M363" s="308" t="s">
        <v>1974</v>
      </c>
      <c r="N363" s="308"/>
      <c r="O363" s="308" t="s">
        <v>566</v>
      </c>
      <c r="P363" s="309" t="s">
        <v>3760</v>
      </c>
    </row>
    <row r="364" s="107" customFormat="1" ht="20.1" customHeight="1" spans="1:16">
      <c r="A364" s="283" t="s">
        <v>568</v>
      </c>
      <c r="B364" s="284" t="s">
        <v>1976</v>
      </c>
      <c r="C364" s="285">
        <v>0</v>
      </c>
      <c r="D364" s="285">
        <f t="shared" si="66"/>
        <v>0</v>
      </c>
      <c r="E364" s="285">
        <f t="shared" ref="E364:H364" si="72">SUM(E365:E373)</f>
        <v>0</v>
      </c>
      <c r="F364" s="285">
        <f t="shared" si="72"/>
        <v>0</v>
      </c>
      <c r="G364" s="285">
        <f>VLOOKUP(A364,[1]√表四、2025年公共财政支出变动表!$A$8:$S$221,18,FALSE)</f>
        <v>0</v>
      </c>
      <c r="H364" s="285">
        <f t="shared" si="72"/>
        <v>0</v>
      </c>
      <c r="I364" s="285"/>
      <c r="J364" s="299">
        <f t="shared" si="67"/>
        <v>0</v>
      </c>
      <c r="K364" s="300" t="s">
        <v>3551</v>
      </c>
      <c r="L364" s="301"/>
      <c r="M364" s="312" t="s">
        <v>568</v>
      </c>
      <c r="N364" s="312" t="s">
        <v>554</v>
      </c>
      <c r="O364" s="312" t="s">
        <v>568</v>
      </c>
      <c r="P364" s="313" t="s">
        <v>3761</v>
      </c>
    </row>
    <row r="365" s="106" customFormat="1" ht="20.1" customHeight="1" spans="1:16">
      <c r="A365" s="279" t="s">
        <v>1977</v>
      </c>
      <c r="B365" s="286" t="s">
        <v>1458</v>
      </c>
      <c r="C365" s="287">
        <v>0</v>
      </c>
      <c r="D365" s="288">
        <f t="shared" si="66"/>
        <v>0</v>
      </c>
      <c r="E365" s="287"/>
      <c r="F365" s="287"/>
      <c r="G365" s="287"/>
      <c r="H365" s="287"/>
      <c r="I365" s="302"/>
      <c r="J365" s="303">
        <f t="shared" si="67"/>
        <v>0</v>
      </c>
      <c r="K365" s="294" t="s">
        <v>3555</v>
      </c>
      <c r="L365" s="44">
        <v>1</v>
      </c>
      <c r="M365" s="308" t="s">
        <v>1977</v>
      </c>
      <c r="N365" s="308"/>
      <c r="O365" s="308" t="s">
        <v>568</v>
      </c>
      <c r="P365" s="314" t="s">
        <v>3556</v>
      </c>
    </row>
    <row r="366" s="106" customFormat="1" ht="20.1" customHeight="1" spans="1:16">
      <c r="A366" s="279" t="s">
        <v>1978</v>
      </c>
      <c r="B366" s="289" t="s">
        <v>1460</v>
      </c>
      <c r="C366" s="287">
        <v>0</v>
      </c>
      <c r="D366" s="288">
        <f t="shared" si="66"/>
        <v>0</v>
      </c>
      <c r="E366" s="287"/>
      <c r="F366" s="287"/>
      <c r="G366" s="287"/>
      <c r="H366" s="287"/>
      <c r="I366" s="302"/>
      <c r="J366" s="303">
        <f t="shared" si="67"/>
        <v>0</v>
      </c>
      <c r="K366" s="294" t="s">
        <v>3555</v>
      </c>
      <c r="L366" s="44">
        <v>1</v>
      </c>
      <c r="M366" s="308" t="s">
        <v>1978</v>
      </c>
      <c r="N366" s="308"/>
      <c r="O366" s="308" t="s">
        <v>568</v>
      </c>
      <c r="P366" s="314" t="s">
        <v>3557</v>
      </c>
    </row>
    <row r="367" s="106" customFormat="1" ht="20.1" customHeight="1" spans="1:16">
      <c r="A367" s="279" t="s">
        <v>1979</v>
      </c>
      <c r="B367" s="289" t="s">
        <v>1462</v>
      </c>
      <c r="C367" s="287">
        <v>0</v>
      </c>
      <c r="D367" s="288">
        <f t="shared" si="66"/>
        <v>0</v>
      </c>
      <c r="E367" s="287"/>
      <c r="F367" s="287"/>
      <c r="G367" s="287"/>
      <c r="H367" s="287"/>
      <c r="I367" s="302"/>
      <c r="J367" s="303">
        <f t="shared" si="67"/>
        <v>0</v>
      </c>
      <c r="K367" s="294" t="s">
        <v>3555</v>
      </c>
      <c r="L367" s="44">
        <v>1</v>
      </c>
      <c r="M367" s="308" t="s">
        <v>1979</v>
      </c>
      <c r="N367" s="308"/>
      <c r="O367" s="308" t="s">
        <v>568</v>
      </c>
      <c r="P367" s="314" t="s">
        <v>3558</v>
      </c>
    </row>
    <row r="368" s="106" customFormat="1" ht="20.1" customHeight="1" spans="1:16">
      <c r="A368" s="279" t="s">
        <v>1980</v>
      </c>
      <c r="B368" s="289" t="s">
        <v>1981</v>
      </c>
      <c r="C368" s="287">
        <v>0</v>
      </c>
      <c r="D368" s="288">
        <f t="shared" si="66"/>
        <v>0</v>
      </c>
      <c r="E368" s="287"/>
      <c r="F368" s="287"/>
      <c r="G368" s="287"/>
      <c r="H368" s="287"/>
      <c r="I368" s="302"/>
      <c r="J368" s="303">
        <f t="shared" si="67"/>
        <v>0</v>
      </c>
      <c r="K368" s="294" t="s">
        <v>3555</v>
      </c>
      <c r="L368" s="44">
        <v>1</v>
      </c>
      <c r="M368" s="308" t="s">
        <v>1980</v>
      </c>
      <c r="N368" s="308"/>
      <c r="O368" s="308" t="s">
        <v>568</v>
      </c>
      <c r="P368" s="309" t="s">
        <v>3762</v>
      </c>
    </row>
    <row r="369" s="106" customFormat="1" ht="20.1" customHeight="1" spans="1:16">
      <c r="A369" s="279" t="s">
        <v>1982</v>
      </c>
      <c r="B369" s="41" t="s">
        <v>1983</v>
      </c>
      <c r="C369" s="287">
        <v>0</v>
      </c>
      <c r="D369" s="288">
        <f t="shared" si="66"/>
        <v>0</v>
      </c>
      <c r="E369" s="287"/>
      <c r="F369" s="287"/>
      <c r="G369" s="287"/>
      <c r="H369" s="287"/>
      <c r="I369" s="302"/>
      <c r="J369" s="303">
        <f t="shared" si="67"/>
        <v>0</v>
      </c>
      <c r="K369" s="294" t="s">
        <v>3555</v>
      </c>
      <c r="L369" s="44">
        <v>1</v>
      </c>
      <c r="M369" s="308" t="s">
        <v>1982</v>
      </c>
      <c r="N369" s="308"/>
      <c r="O369" s="308" t="s">
        <v>568</v>
      </c>
      <c r="P369" s="309" t="s">
        <v>3763</v>
      </c>
    </row>
    <row r="370" s="106" customFormat="1" ht="20.1" customHeight="1" spans="1:16">
      <c r="A370" s="279" t="s">
        <v>1984</v>
      </c>
      <c r="B370" s="286" t="s">
        <v>1985</v>
      </c>
      <c r="C370" s="287">
        <v>0</v>
      </c>
      <c r="D370" s="288">
        <f t="shared" si="66"/>
        <v>0</v>
      </c>
      <c r="E370" s="287"/>
      <c r="F370" s="287"/>
      <c r="G370" s="287"/>
      <c r="H370" s="287"/>
      <c r="I370" s="302"/>
      <c r="J370" s="303">
        <f t="shared" si="67"/>
        <v>0</v>
      </c>
      <c r="K370" s="294" t="s">
        <v>3555</v>
      </c>
      <c r="L370" s="44">
        <v>1</v>
      </c>
      <c r="M370" s="308" t="s">
        <v>1984</v>
      </c>
      <c r="N370" s="308"/>
      <c r="O370" s="308" t="s">
        <v>568</v>
      </c>
      <c r="P370" s="309" t="s">
        <v>3764</v>
      </c>
    </row>
    <row r="371" s="106" customFormat="1" ht="20.1" customHeight="1" spans="1:16">
      <c r="A371" s="279" t="s">
        <v>1986</v>
      </c>
      <c r="B371" s="286" t="s">
        <v>1553</v>
      </c>
      <c r="C371" s="287">
        <v>0</v>
      </c>
      <c r="D371" s="288">
        <f t="shared" si="66"/>
        <v>0</v>
      </c>
      <c r="E371" s="287"/>
      <c r="F371" s="287"/>
      <c r="G371" s="287"/>
      <c r="H371" s="287"/>
      <c r="I371" s="302"/>
      <c r="J371" s="303">
        <f t="shared" si="67"/>
        <v>0</v>
      </c>
      <c r="K371" s="294" t="s">
        <v>3555</v>
      </c>
      <c r="L371" s="44">
        <v>1</v>
      </c>
      <c r="M371" s="308" t="s">
        <v>1986</v>
      </c>
      <c r="N371" s="308"/>
      <c r="O371" s="308" t="s">
        <v>568</v>
      </c>
      <c r="P371" s="314" t="s">
        <v>3596</v>
      </c>
    </row>
    <row r="372" s="106" customFormat="1" ht="20.1" customHeight="1" spans="1:16">
      <c r="A372" s="279" t="s">
        <v>1987</v>
      </c>
      <c r="B372" s="286" t="s">
        <v>1476</v>
      </c>
      <c r="C372" s="287">
        <v>0</v>
      </c>
      <c r="D372" s="288">
        <f t="shared" si="66"/>
        <v>0</v>
      </c>
      <c r="E372" s="287"/>
      <c r="F372" s="287"/>
      <c r="G372" s="287"/>
      <c r="H372" s="287"/>
      <c r="I372" s="302"/>
      <c r="J372" s="303">
        <f t="shared" si="67"/>
        <v>0</v>
      </c>
      <c r="K372" s="294" t="s">
        <v>3555</v>
      </c>
      <c r="L372" s="44">
        <v>1</v>
      </c>
      <c r="M372" s="308" t="s">
        <v>1987</v>
      </c>
      <c r="N372" s="308"/>
      <c r="O372" s="308" t="s">
        <v>568</v>
      </c>
      <c r="P372" s="314" t="s">
        <v>3565</v>
      </c>
    </row>
    <row r="373" s="106" customFormat="1" ht="20.1" customHeight="1" spans="1:16">
      <c r="A373" s="279" t="s">
        <v>1988</v>
      </c>
      <c r="B373" s="286" t="s">
        <v>1989</v>
      </c>
      <c r="C373" s="287">
        <v>0</v>
      </c>
      <c r="D373" s="288">
        <f t="shared" si="66"/>
        <v>0</v>
      </c>
      <c r="E373" s="287"/>
      <c r="F373" s="287"/>
      <c r="G373" s="287"/>
      <c r="H373" s="287"/>
      <c r="I373" s="302"/>
      <c r="J373" s="303">
        <f t="shared" si="67"/>
        <v>0</v>
      </c>
      <c r="K373" s="294" t="s">
        <v>3555</v>
      </c>
      <c r="L373" s="44">
        <v>1</v>
      </c>
      <c r="M373" s="308" t="s">
        <v>1988</v>
      </c>
      <c r="N373" s="308"/>
      <c r="O373" s="308" t="s">
        <v>568</v>
      </c>
      <c r="P373" s="309" t="s">
        <v>3765</v>
      </c>
    </row>
    <row r="374" s="107" customFormat="1" ht="20.1" customHeight="1" spans="1:16">
      <c r="A374" s="283" t="s">
        <v>570</v>
      </c>
      <c r="B374" s="284" t="s">
        <v>1990</v>
      </c>
      <c r="C374" s="285">
        <v>0</v>
      </c>
      <c r="D374" s="285">
        <f t="shared" si="66"/>
        <v>0</v>
      </c>
      <c r="E374" s="285">
        <f t="shared" ref="E374:H374" si="73">SUM(E375:E383)</f>
        <v>0</v>
      </c>
      <c r="F374" s="285">
        <f t="shared" si="73"/>
        <v>0</v>
      </c>
      <c r="G374" s="285">
        <f>VLOOKUP(A374,[1]√表四、2025年公共财政支出变动表!$A$8:$S$221,18,FALSE)</f>
        <v>0</v>
      </c>
      <c r="H374" s="285">
        <f t="shared" si="73"/>
        <v>0</v>
      </c>
      <c r="I374" s="285"/>
      <c r="J374" s="299">
        <f t="shared" si="67"/>
        <v>0</v>
      </c>
      <c r="K374" s="300" t="s">
        <v>3551</v>
      </c>
      <c r="L374" s="301"/>
      <c r="M374" s="312" t="s">
        <v>570</v>
      </c>
      <c r="N374" s="312" t="s">
        <v>554</v>
      </c>
      <c r="O374" s="312" t="s">
        <v>570</v>
      </c>
      <c r="P374" s="313" t="s">
        <v>3766</v>
      </c>
    </row>
    <row r="375" s="106" customFormat="1" ht="20.1" customHeight="1" spans="1:16">
      <c r="A375" s="279" t="s">
        <v>1991</v>
      </c>
      <c r="B375" s="289" t="s">
        <v>1458</v>
      </c>
      <c r="C375" s="287">
        <v>0</v>
      </c>
      <c r="D375" s="288">
        <f t="shared" si="66"/>
        <v>0</v>
      </c>
      <c r="E375" s="287"/>
      <c r="F375" s="287"/>
      <c r="G375" s="287"/>
      <c r="H375" s="287"/>
      <c r="I375" s="302"/>
      <c r="J375" s="303">
        <f t="shared" si="67"/>
        <v>0</v>
      </c>
      <c r="K375" s="294" t="s">
        <v>3555</v>
      </c>
      <c r="L375" s="44">
        <v>1</v>
      </c>
      <c r="M375" s="308" t="s">
        <v>1991</v>
      </c>
      <c r="N375" s="308"/>
      <c r="O375" s="308" t="s">
        <v>570</v>
      </c>
      <c r="P375" s="314" t="s">
        <v>3556</v>
      </c>
    </row>
    <row r="376" s="106" customFormat="1" ht="20.1" customHeight="1" spans="1:16">
      <c r="A376" s="279" t="s">
        <v>1992</v>
      </c>
      <c r="B376" s="289" t="s">
        <v>1460</v>
      </c>
      <c r="C376" s="287">
        <v>0</v>
      </c>
      <c r="D376" s="288">
        <f t="shared" si="66"/>
        <v>0</v>
      </c>
      <c r="E376" s="287"/>
      <c r="F376" s="287"/>
      <c r="G376" s="287"/>
      <c r="H376" s="287"/>
      <c r="I376" s="302"/>
      <c r="J376" s="303">
        <f t="shared" si="67"/>
        <v>0</v>
      </c>
      <c r="K376" s="294" t="s">
        <v>3555</v>
      </c>
      <c r="L376" s="44">
        <v>1</v>
      </c>
      <c r="M376" s="308" t="s">
        <v>1992</v>
      </c>
      <c r="N376" s="308"/>
      <c r="O376" s="308" t="s">
        <v>570</v>
      </c>
      <c r="P376" s="314" t="s">
        <v>3557</v>
      </c>
    </row>
    <row r="377" s="106" customFormat="1" ht="20.1" customHeight="1" spans="1:16">
      <c r="A377" s="279" t="s">
        <v>1993</v>
      </c>
      <c r="B377" s="286" t="s">
        <v>1462</v>
      </c>
      <c r="C377" s="287">
        <v>0</v>
      </c>
      <c r="D377" s="288">
        <f t="shared" si="66"/>
        <v>0</v>
      </c>
      <c r="E377" s="287"/>
      <c r="F377" s="287"/>
      <c r="G377" s="287"/>
      <c r="H377" s="287"/>
      <c r="I377" s="302"/>
      <c r="J377" s="303">
        <f t="shared" si="67"/>
        <v>0</v>
      </c>
      <c r="K377" s="294" t="s">
        <v>3555</v>
      </c>
      <c r="L377" s="44">
        <v>1</v>
      </c>
      <c r="M377" s="308" t="s">
        <v>1993</v>
      </c>
      <c r="N377" s="308"/>
      <c r="O377" s="308" t="s">
        <v>570</v>
      </c>
      <c r="P377" s="314" t="s">
        <v>3558</v>
      </c>
    </row>
    <row r="378" s="106" customFormat="1" ht="20.1" customHeight="1" spans="1:16">
      <c r="A378" s="279" t="s">
        <v>1994</v>
      </c>
      <c r="B378" s="286" t="s">
        <v>1995</v>
      </c>
      <c r="C378" s="287">
        <v>0</v>
      </c>
      <c r="D378" s="288">
        <f t="shared" si="66"/>
        <v>0</v>
      </c>
      <c r="E378" s="287"/>
      <c r="F378" s="287"/>
      <c r="G378" s="287"/>
      <c r="H378" s="287"/>
      <c r="I378" s="302"/>
      <c r="J378" s="303">
        <f t="shared" si="67"/>
        <v>0</v>
      </c>
      <c r="K378" s="294" t="s">
        <v>3555</v>
      </c>
      <c r="L378" s="44">
        <v>1</v>
      </c>
      <c r="M378" s="308" t="s">
        <v>1994</v>
      </c>
      <c r="N378" s="308"/>
      <c r="O378" s="308" t="s">
        <v>570</v>
      </c>
      <c r="P378" s="309" t="s">
        <v>3767</v>
      </c>
    </row>
    <row r="379" s="106" customFormat="1" ht="20.1" customHeight="1" spans="1:16">
      <c r="A379" s="279" t="s">
        <v>1996</v>
      </c>
      <c r="B379" s="286" t="s">
        <v>1997</v>
      </c>
      <c r="C379" s="287">
        <v>0</v>
      </c>
      <c r="D379" s="288">
        <f t="shared" si="66"/>
        <v>0</v>
      </c>
      <c r="E379" s="287"/>
      <c r="F379" s="287"/>
      <c r="G379" s="287"/>
      <c r="H379" s="287"/>
      <c r="I379" s="302"/>
      <c r="J379" s="303">
        <f t="shared" si="67"/>
        <v>0</v>
      </c>
      <c r="K379" s="294" t="s">
        <v>3555</v>
      </c>
      <c r="L379" s="44">
        <v>1</v>
      </c>
      <c r="M379" s="308" t="s">
        <v>1996</v>
      </c>
      <c r="N379" s="308"/>
      <c r="O379" s="308" t="s">
        <v>570</v>
      </c>
      <c r="P379" s="309" t="s">
        <v>3768</v>
      </c>
    </row>
    <row r="380" s="106" customFormat="1" ht="20.1" customHeight="1" spans="1:16">
      <c r="A380" s="279" t="s">
        <v>1998</v>
      </c>
      <c r="B380" s="289" t="s">
        <v>1999</v>
      </c>
      <c r="C380" s="287">
        <v>0</v>
      </c>
      <c r="D380" s="288">
        <f t="shared" si="66"/>
        <v>0</v>
      </c>
      <c r="E380" s="287"/>
      <c r="F380" s="287"/>
      <c r="G380" s="287"/>
      <c r="H380" s="287"/>
      <c r="I380" s="302"/>
      <c r="J380" s="303">
        <f t="shared" si="67"/>
        <v>0</v>
      </c>
      <c r="K380" s="294" t="s">
        <v>3555</v>
      </c>
      <c r="L380" s="44">
        <v>1</v>
      </c>
      <c r="M380" s="308" t="s">
        <v>1998</v>
      </c>
      <c r="N380" s="308"/>
      <c r="O380" s="308" t="s">
        <v>570</v>
      </c>
      <c r="P380" s="309" t="s">
        <v>3769</v>
      </c>
    </row>
    <row r="381" s="106" customFormat="1" ht="20.1" customHeight="1" spans="1:16">
      <c r="A381" s="279" t="s">
        <v>2000</v>
      </c>
      <c r="B381" s="289" t="s">
        <v>1553</v>
      </c>
      <c r="C381" s="287">
        <v>0</v>
      </c>
      <c r="D381" s="288">
        <f t="shared" si="66"/>
        <v>0</v>
      </c>
      <c r="E381" s="287"/>
      <c r="F381" s="287"/>
      <c r="G381" s="287"/>
      <c r="H381" s="287"/>
      <c r="I381" s="302"/>
      <c r="J381" s="303">
        <f t="shared" si="67"/>
        <v>0</v>
      </c>
      <c r="K381" s="294" t="s">
        <v>3555</v>
      </c>
      <c r="L381" s="44">
        <v>1</v>
      </c>
      <c r="M381" s="308" t="s">
        <v>2000</v>
      </c>
      <c r="N381" s="308"/>
      <c r="O381" s="308" t="s">
        <v>570</v>
      </c>
      <c r="P381" s="314" t="s">
        <v>3596</v>
      </c>
    </row>
    <row r="382" s="106" customFormat="1" ht="20.1" customHeight="1" spans="1:16">
      <c r="A382" s="279" t="s">
        <v>2001</v>
      </c>
      <c r="B382" s="289" t="s">
        <v>1476</v>
      </c>
      <c r="C382" s="287">
        <v>0</v>
      </c>
      <c r="D382" s="288">
        <f t="shared" si="66"/>
        <v>0</v>
      </c>
      <c r="E382" s="287"/>
      <c r="F382" s="287"/>
      <c r="G382" s="287"/>
      <c r="H382" s="287"/>
      <c r="I382" s="302"/>
      <c r="J382" s="303">
        <f t="shared" si="67"/>
        <v>0</v>
      </c>
      <c r="K382" s="294" t="s">
        <v>3555</v>
      </c>
      <c r="L382" s="44">
        <v>1</v>
      </c>
      <c r="M382" s="308" t="s">
        <v>2001</v>
      </c>
      <c r="N382" s="308"/>
      <c r="O382" s="308" t="s">
        <v>570</v>
      </c>
      <c r="P382" s="314" t="s">
        <v>3565</v>
      </c>
    </row>
    <row r="383" s="106" customFormat="1" ht="20.1" customHeight="1" spans="1:16">
      <c r="A383" s="279" t="s">
        <v>2002</v>
      </c>
      <c r="B383" s="289" t="s">
        <v>2003</v>
      </c>
      <c r="C383" s="287">
        <v>0</v>
      </c>
      <c r="D383" s="288">
        <f t="shared" si="66"/>
        <v>0</v>
      </c>
      <c r="E383" s="287"/>
      <c r="F383" s="287"/>
      <c r="G383" s="287"/>
      <c r="H383" s="287"/>
      <c r="I383" s="302"/>
      <c r="J383" s="303">
        <f t="shared" si="67"/>
        <v>0</v>
      </c>
      <c r="K383" s="294" t="s">
        <v>3555</v>
      </c>
      <c r="L383" s="44">
        <v>1</v>
      </c>
      <c r="M383" s="308" t="s">
        <v>2002</v>
      </c>
      <c r="N383" s="308"/>
      <c r="O383" s="308" t="s">
        <v>570</v>
      </c>
      <c r="P383" s="309" t="s">
        <v>3770</v>
      </c>
    </row>
    <row r="384" s="107" customFormat="1" ht="20.1" customHeight="1" spans="1:16">
      <c r="A384" s="283" t="s">
        <v>572</v>
      </c>
      <c r="B384" s="284" t="s">
        <v>2004</v>
      </c>
      <c r="C384" s="285">
        <f t="shared" ref="C384:I384" si="74">SUM(C385:C391)</f>
        <v>0</v>
      </c>
      <c r="D384" s="285">
        <f t="shared" si="66"/>
        <v>0</v>
      </c>
      <c r="E384" s="285">
        <f t="shared" si="74"/>
        <v>0</v>
      </c>
      <c r="F384" s="285">
        <f t="shared" si="74"/>
        <v>0</v>
      </c>
      <c r="G384" s="285">
        <f t="shared" si="74"/>
        <v>0</v>
      </c>
      <c r="H384" s="285">
        <f t="shared" si="74"/>
        <v>0</v>
      </c>
      <c r="I384" s="285">
        <f t="shared" si="74"/>
        <v>0</v>
      </c>
      <c r="J384" s="299">
        <f t="shared" si="67"/>
        <v>0</v>
      </c>
      <c r="K384" s="300" t="s">
        <v>3551</v>
      </c>
      <c r="L384" s="301"/>
      <c r="M384" s="312" t="s">
        <v>572</v>
      </c>
      <c r="N384" s="312" t="s">
        <v>554</v>
      </c>
      <c r="O384" s="312" t="s">
        <v>572</v>
      </c>
      <c r="P384" s="313" t="s">
        <v>3771</v>
      </c>
    </row>
    <row r="385" s="106" customFormat="1" ht="20.1" customHeight="1" spans="1:16">
      <c r="A385" s="279" t="s">
        <v>2005</v>
      </c>
      <c r="B385" s="286" t="s">
        <v>1458</v>
      </c>
      <c r="C385" s="287">
        <v>0</v>
      </c>
      <c r="D385" s="288">
        <f t="shared" si="66"/>
        <v>0</v>
      </c>
      <c r="E385" s="287"/>
      <c r="F385" s="287"/>
      <c r="G385" s="287"/>
      <c r="H385" s="287"/>
      <c r="I385" s="302"/>
      <c r="J385" s="303">
        <f t="shared" si="67"/>
        <v>0</v>
      </c>
      <c r="K385" s="294" t="s">
        <v>3555</v>
      </c>
      <c r="L385" s="44">
        <v>1</v>
      </c>
      <c r="M385" s="308" t="s">
        <v>2005</v>
      </c>
      <c r="N385" s="308"/>
      <c r="O385" s="308" t="s">
        <v>572</v>
      </c>
      <c r="P385" s="314" t="s">
        <v>3556</v>
      </c>
    </row>
    <row r="386" s="106" customFormat="1" ht="20.1" customHeight="1" spans="1:16">
      <c r="A386" s="279" t="s">
        <v>2006</v>
      </c>
      <c r="B386" s="286" t="s">
        <v>1460</v>
      </c>
      <c r="C386" s="287">
        <v>0</v>
      </c>
      <c r="D386" s="288">
        <f t="shared" si="66"/>
        <v>0</v>
      </c>
      <c r="E386" s="287"/>
      <c r="F386" s="287"/>
      <c r="G386" s="287"/>
      <c r="H386" s="287"/>
      <c r="I386" s="302"/>
      <c r="J386" s="303">
        <f t="shared" si="67"/>
        <v>0</v>
      </c>
      <c r="K386" s="294" t="s">
        <v>3555</v>
      </c>
      <c r="L386" s="44">
        <v>1</v>
      </c>
      <c r="M386" s="308" t="s">
        <v>2006</v>
      </c>
      <c r="N386" s="308"/>
      <c r="O386" s="308" t="s">
        <v>572</v>
      </c>
      <c r="P386" s="314" t="s">
        <v>3557</v>
      </c>
    </row>
    <row r="387" s="106" customFormat="1" ht="20.1" customHeight="1" spans="1:16">
      <c r="A387" s="279" t="s">
        <v>2007</v>
      </c>
      <c r="B387" s="286" t="s">
        <v>1462</v>
      </c>
      <c r="C387" s="287">
        <v>0</v>
      </c>
      <c r="D387" s="288">
        <f t="shared" si="66"/>
        <v>0</v>
      </c>
      <c r="E387" s="287"/>
      <c r="F387" s="287"/>
      <c r="G387" s="287"/>
      <c r="H387" s="287"/>
      <c r="I387" s="302"/>
      <c r="J387" s="303">
        <f t="shared" si="67"/>
        <v>0</v>
      </c>
      <c r="K387" s="294" t="s">
        <v>3555</v>
      </c>
      <c r="L387" s="44">
        <v>1</v>
      </c>
      <c r="M387" s="308" t="s">
        <v>2007</v>
      </c>
      <c r="N387" s="308"/>
      <c r="O387" s="308" t="s">
        <v>572</v>
      </c>
      <c r="P387" s="314" t="s">
        <v>3558</v>
      </c>
    </row>
    <row r="388" s="106" customFormat="1" ht="20.1" customHeight="1" spans="1:16">
      <c r="A388" s="279" t="s">
        <v>2008</v>
      </c>
      <c r="B388" s="289" t="s">
        <v>2009</v>
      </c>
      <c r="C388" s="287">
        <v>0</v>
      </c>
      <c r="D388" s="288">
        <f t="shared" ref="D388:D451" si="75">SUM(E388:I388)</f>
        <v>0</v>
      </c>
      <c r="E388" s="287"/>
      <c r="F388" s="287"/>
      <c r="G388" s="287"/>
      <c r="H388" s="287"/>
      <c r="I388" s="302"/>
      <c r="J388" s="303">
        <f t="shared" ref="J388:J398" si="76">ROUND(IF(C388=0,IF(D388=0,0,1),IF(D388=0,-1,D388/C388)),4)*100</f>
        <v>0</v>
      </c>
      <c r="K388" s="294" t="s">
        <v>3555</v>
      </c>
      <c r="L388" s="44">
        <v>1</v>
      </c>
      <c r="M388" s="308" t="s">
        <v>2008</v>
      </c>
      <c r="N388" s="308"/>
      <c r="O388" s="308" t="s">
        <v>572</v>
      </c>
      <c r="P388" s="309" t="s">
        <v>3772</v>
      </c>
    </row>
    <row r="389" s="106" customFormat="1" ht="20.1" customHeight="1" spans="1:16">
      <c r="A389" s="279" t="s">
        <v>2010</v>
      </c>
      <c r="B389" s="289" t="s">
        <v>2011</v>
      </c>
      <c r="C389" s="287">
        <v>0</v>
      </c>
      <c r="D389" s="288">
        <f t="shared" si="75"/>
        <v>0</v>
      </c>
      <c r="E389" s="287"/>
      <c r="F389" s="287"/>
      <c r="G389" s="287"/>
      <c r="H389" s="287"/>
      <c r="I389" s="302"/>
      <c r="J389" s="303">
        <f t="shared" si="76"/>
        <v>0</v>
      </c>
      <c r="K389" s="294" t="s">
        <v>3555</v>
      </c>
      <c r="L389" s="44">
        <v>1</v>
      </c>
      <c r="M389" s="308" t="s">
        <v>2010</v>
      </c>
      <c r="N389" s="308"/>
      <c r="O389" s="308" t="s">
        <v>572</v>
      </c>
      <c r="P389" s="309" t="s">
        <v>3773</v>
      </c>
    </row>
    <row r="390" s="106" customFormat="1" ht="20.1" customHeight="1" spans="1:16">
      <c r="A390" s="279" t="s">
        <v>2012</v>
      </c>
      <c r="B390" s="289" t="s">
        <v>1476</v>
      </c>
      <c r="C390" s="287">
        <v>0</v>
      </c>
      <c r="D390" s="288">
        <f t="shared" si="75"/>
        <v>0</v>
      </c>
      <c r="E390" s="287"/>
      <c r="F390" s="287"/>
      <c r="G390" s="287"/>
      <c r="H390" s="287"/>
      <c r="I390" s="302"/>
      <c r="J390" s="303">
        <f t="shared" si="76"/>
        <v>0</v>
      </c>
      <c r="K390" s="294" t="s">
        <v>3555</v>
      </c>
      <c r="L390" s="44">
        <v>1</v>
      </c>
      <c r="M390" s="308" t="s">
        <v>2012</v>
      </c>
      <c r="N390" s="308"/>
      <c r="O390" s="308" t="s">
        <v>572</v>
      </c>
      <c r="P390" s="314" t="s">
        <v>3565</v>
      </c>
    </row>
    <row r="391" s="106" customFormat="1" ht="20.1" customHeight="1" spans="1:16">
      <c r="A391" s="279" t="s">
        <v>2013</v>
      </c>
      <c r="B391" s="286" t="s">
        <v>2014</v>
      </c>
      <c r="C391" s="287">
        <v>0</v>
      </c>
      <c r="D391" s="288">
        <f t="shared" si="75"/>
        <v>0</v>
      </c>
      <c r="E391" s="287"/>
      <c r="F391" s="287"/>
      <c r="G391" s="287"/>
      <c r="H391" s="287"/>
      <c r="I391" s="302"/>
      <c r="J391" s="303">
        <f t="shared" si="76"/>
        <v>0</v>
      </c>
      <c r="K391" s="294" t="s">
        <v>3555</v>
      </c>
      <c r="L391" s="44">
        <v>1</v>
      </c>
      <c r="M391" s="308" t="s">
        <v>2013</v>
      </c>
      <c r="N391" s="308"/>
      <c r="O391" s="308" t="s">
        <v>572</v>
      </c>
      <c r="P391" s="309" t="s">
        <v>3774</v>
      </c>
    </row>
    <row r="392" s="107" customFormat="1" ht="20.1" customHeight="1" spans="1:16">
      <c r="A392" s="283" t="s">
        <v>574</v>
      </c>
      <c r="B392" s="284" t="s">
        <v>2015</v>
      </c>
      <c r="C392" s="285">
        <f t="shared" ref="C392:I392" si="77">SUM(C393:C397)</f>
        <v>0</v>
      </c>
      <c r="D392" s="285">
        <f t="shared" si="75"/>
        <v>0</v>
      </c>
      <c r="E392" s="285">
        <f t="shared" si="77"/>
        <v>0</v>
      </c>
      <c r="F392" s="285">
        <f t="shared" si="77"/>
        <v>0</v>
      </c>
      <c r="G392" s="285">
        <f t="shared" si="77"/>
        <v>0</v>
      </c>
      <c r="H392" s="285">
        <f t="shared" si="77"/>
        <v>0</v>
      </c>
      <c r="I392" s="285">
        <f t="shared" si="77"/>
        <v>0</v>
      </c>
      <c r="J392" s="299">
        <f t="shared" si="76"/>
        <v>0</v>
      </c>
      <c r="K392" s="300" t="s">
        <v>3551</v>
      </c>
      <c r="L392" s="301"/>
      <c r="M392" s="312" t="s">
        <v>574</v>
      </c>
      <c r="N392" s="312" t="s">
        <v>554</v>
      </c>
      <c r="O392" s="312" t="s">
        <v>574</v>
      </c>
      <c r="P392" s="313" t="s">
        <v>3775</v>
      </c>
    </row>
    <row r="393" s="106" customFormat="1" ht="20.1" customHeight="1" spans="1:16">
      <c r="A393" s="279" t="s">
        <v>2016</v>
      </c>
      <c r="B393" s="286" t="s">
        <v>1458</v>
      </c>
      <c r="C393" s="287">
        <v>0</v>
      </c>
      <c r="D393" s="288">
        <f t="shared" si="75"/>
        <v>0</v>
      </c>
      <c r="E393" s="287"/>
      <c r="F393" s="287"/>
      <c r="G393" s="287"/>
      <c r="H393" s="287"/>
      <c r="I393" s="302"/>
      <c r="J393" s="303">
        <f t="shared" si="76"/>
        <v>0</v>
      </c>
      <c r="K393" s="294" t="s">
        <v>3555</v>
      </c>
      <c r="L393" s="44">
        <v>1</v>
      </c>
      <c r="M393" s="308" t="s">
        <v>2016</v>
      </c>
      <c r="N393" s="308"/>
      <c r="O393" s="308" t="s">
        <v>574</v>
      </c>
      <c r="P393" s="314" t="s">
        <v>3556</v>
      </c>
    </row>
    <row r="394" s="106" customFormat="1" ht="20.1" customHeight="1" spans="1:16">
      <c r="A394" s="279" t="s">
        <v>2017</v>
      </c>
      <c r="B394" s="289" t="s">
        <v>1460</v>
      </c>
      <c r="C394" s="287">
        <v>0</v>
      </c>
      <c r="D394" s="288">
        <f t="shared" si="75"/>
        <v>0</v>
      </c>
      <c r="E394" s="287"/>
      <c r="F394" s="287"/>
      <c r="G394" s="287"/>
      <c r="H394" s="287"/>
      <c r="I394" s="302"/>
      <c r="J394" s="303">
        <f t="shared" si="76"/>
        <v>0</v>
      </c>
      <c r="K394" s="294" t="s">
        <v>3555</v>
      </c>
      <c r="L394" s="44">
        <v>1</v>
      </c>
      <c r="M394" s="308" t="s">
        <v>2017</v>
      </c>
      <c r="N394" s="308"/>
      <c r="O394" s="308" t="s">
        <v>574</v>
      </c>
      <c r="P394" s="314" t="s">
        <v>3557</v>
      </c>
    </row>
    <row r="395" s="106" customFormat="1" ht="20.1" customHeight="1" spans="1:16">
      <c r="A395" s="279" t="s">
        <v>2018</v>
      </c>
      <c r="B395" s="286" t="s">
        <v>1553</v>
      </c>
      <c r="C395" s="287">
        <v>0</v>
      </c>
      <c r="D395" s="288">
        <f t="shared" si="75"/>
        <v>0</v>
      </c>
      <c r="E395" s="287"/>
      <c r="F395" s="287"/>
      <c r="G395" s="287"/>
      <c r="H395" s="287"/>
      <c r="I395" s="302"/>
      <c r="J395" s="303">
        <f t="shared" si="76"/>
        <v>0</v>
      </c>
      <c r="K395" s="294" t="s">
        <v>3555</v>
      </c>
      <c r="L395" s="44">
        <v>1</v>
      </c>
      <c r="M395" s="308" t="s">
        <v>2018</v>
      </c>
      <c r="N395" s="308"/>
      <c r="O395" s="308" t="s">
        <v>574</v>
      </c>
      <c r="P395" s="314" t="s">
        <v>3596</v>
      </c>
    </row>
    <row r="396" s="106" customFormat="1" ht="20.1" customHeight="1" spans="1:16">
      <c r="A396" s="279" t="s">
        <v>2019</v>
      </c>
      <c r="B396" s="286" t="s">
        <v>2020</v>
      </c>
      <c r="C396" s="287">
        <v>0</v>
      </c>
      <c r="D396" s="288">
        <f t="shared" si="75"/>
        <v>0</v>
      </c>
      <c r="E396" s="287"/>
      <c r="F396" s="287"/>
      <c r="G396" s="287"/>
      <c r="H396" s="287"/>
      <c r="I396" s="302"/>
      <c r="J396" s="303">
        <f t="shared" si="76"/>
        <v>0</v>
      </c>
      <c r="K396" s="294" t="s">
        <v>3555</v>
      </c>
      <c r="L396" s="44">
        <v>1</v>
      </c>
      <c r="M396" s="308" t="s">
        <v>2019</v>
      </c>
      <c r="N396" s="308"/>
      <c r="O396" s="308" t="s">
        <v>574</v>
      </c>
      <c r="P396" s="314" t="s">
        <v>3776</v>
      </c>
    </row>
    <row r="397" s="106" customFormat="1" ht="20.1" customHeight="1" spans="1:16">
      <c r="A397" s="279" t="s">
        <v>2021</v>
      </c>
      <c r="B397" s="286" t="s">
        <v>2022</v>
      </c>
      <c r="C397" s="287">
        <v>0</v>
      </c>
      <c r="D397" s="288">
        <f t="shared" si="75"/>
        <v>0</v>
      </c>
      <c r="E397" s="287"/>
      <c r="F397" s="287"/>
      <c r="G397" s="287"/>
      <c r="H397" s="287"/>
      <c r="I397" s="302"/>
      <c r="J397" s="303">
        <f t="shared" si="76"/>
        <v>0</v>
      </c>
      <c r="K397" s="294" t="s">
        <v>3555</v>
      </c>
      <c r="L397" s="44">
        <v>1</v>
      </c>
      <c r="M397" s="308" t="s">
        <v>2021</v>
      </c>
      <c r="N397" s="308"/>
      <c r="O397" s="308" t="s">
        <v>574</v>
      </c>
      <c r="P397" s="309" t="s">
        <v>3777</v>
      </c>
    </row>
    <row r="398" s="107" customFormat="1" ht="20.1" customHeight="1" spans="1:16">
      <c r="A398" s="283" t="s">
        <v>576</v>
      </c>
      <c r="B398" s="284" t="s">
        <v>2023</v>
      </c>
      <c r="C398" s="285">
        <f t="shared" ref="C398:I398" si="78">SUM(C399:C400)</f>
        <v>32</v>
      </c>
      <c r="D398" s="285">
        <f t="shared" si="75"/>
        <v>1179</v>
      </c>
      <c r="E398" s="285">
        <f t="shared" si="78"/>
        <v>1178</v>
      </c>
      <c r="F398" s="285">
        <f t="shared" si="78"/>
        <v>0</v>
      </c>
      <c r="G398" s="285">
        <f t="shared" si="78"/>
        <v>1</v>
      </c>
      <c r="H398" s="285">
        <f t="shared" si="78"/>
        <v>0</v>
      </c>
      <c r="I398" s="285">
        <f t="shared" si="78"/>
        <v>0</v>
      </c>
      <c r="J398" s="299">
        <f t="shared" si="76"/>
        <v>3684.38</v>
      </c>
      <c r="K398" s="300" t="s">
        <v>3551</v>
      </c>
      <c r="L398" s="301">
        <v>8</v>
      </c>
      <c r="M398" s="312" t="s">
        <v>576</v>
      </c>
      <c r="N398" s="312" t="s">
        <v>554</v>
      </c>
      <c r="O398" s="312" t="s">
        <v>576</v>
      </c>
      <c r="P398" s="313" t="s">
        <v>3778</v>
      </c>
    </row>
    <row r="399" s="106" customFormat="1" ht="20.1" customHeight="1" spans="1:16">
      <c r="A399" s="279" t="s">
        <v>2024</v>
      </c>
      <c r="B399" s="286" t="s">
        <v>2025</v>
      </c>
      <c r="C399" s="287">
        <v>9</v>
      </c>
      <c r="D399" s="287">
        <f t="shared" si="75"/>
        <v>0</v>
      </c>
      <c r="E399" s="287"/>
      <c r="F399" s="287"/>
      <c r="G399" s="287"/>
      <c r="H399" s="287"/>
      <c r="I399" s="287"/>
      <c r="J399" s="303"/>
      <c r="K399" s="294" t="s">
        <v>3555</v>
      </c>
      <c r="L399" s="44">
        <v>1</v>
      </c>
      <c r="M399" s="308" t="s">
        <v>2024</v>
      </c>
      <c r="N399" s="308"/>
      <c r="O399" s="308" t="s">
        <v>576</v>
      </c>
      <c r="P399" s="315" t="s">
        <v>3779</v>
      </c>
    </row>
    <row r="400" s="106" customFormat="1" ht="20.1" customHeight="1" spans="1:16">
      <c r="A400" s="279" t="s">
        <v>2026</v>
      </c>
      <c r="B400" s="286" t="s">
        <v>2027</v>
      </c>
      <c r="C400" s="287">
        <v>23</v>
      </c>
      <c r="D400" s="288">
        <f t="shared" si="75"/>
        <v>1179</v>
      </c>
      <c r="E400" s="287">
        <v>1178</v>
      </c>
      <c r="F400" s="287"/>
      <c r="G400" s="287">
        <v>1</v>
      </c>
      <c r="H400" s="287"/>
      <c r="I400" s="302"/>
      <c r="J400" s="303"/>
      <c r="K400" s="294" t="s">
        <v>3555</v>
      </c>
      <c r="L400" s="44">
        <v>1</v>
      </c>
      <c r="M400" s="308" t="s">
        <v>2026</v>
      </c>
      <c r="N400" s="308"/>
      <c r="O400" s="308" t="s">
        <v>576</v>
      </c>
      <c r="P400" s="315" t="s">
        <v>3778</v>
      </c>
    </row>
    <row r="401" s="107" customFormat="1" ht="20.1" customHeight="1" spans="1:16">
      <c r="A401" s="280" t="s">
        <v>578</v>
      </c>
      <c r="B401" s="281" t="s">
        <v>579</v>
      </c>
      <c r="C401" s="282">
        <f t="shared" ref="C401:I401" si="79">C402+C407+C414+C420+C426+C430+C434+C438+C444+C451</f>
        <v>72893</v>
      </c>
      <c r="D401" s="282">
        <f t="shared" si="75"/>
        <v>84348</v>
      </c>
      <c r="E401" s="282">
        <f t="shared" si="79"/>
        <v>19543</v>
      </c>
      <c r="F401" s="282">
        <f t="shared" si="79"/>
        <v>0</v>
      </c>
      <c r="G401" s="282">
        <f t="shared" si="79"/>
        <v>4107</v>
      </c>
      <c r="H401" s="282">
        <f t="shared" si="79"/>
        <v>0</v>
      </c>
      <c r="I401" s="282">
        <f t="shared" si="79"/>
        <v>60698</v>
      </c>
      <c r="J401" s="296">
        <f t="shared" ref="J401:J451" si="80">ROUND(IF(C401=0,IF(D401=0,0,1),IF(D401=0,-1,D401/C401)),4)*100</f>
        <v>115.71</v>
      </c>
      <c r="K401" s="297" t="s">
        <v>3550</v>
      </c>
      <c r="L401" s="298"/>
      <c r="M401" s="310" t="s">
        <v>578</v>
      </c>
      <c r="N401" s="310" t="s">
        <v>578</v>
      </c>
      <c r="O401" s="310" t="s">
        <v>578</v>
      </c>
      <c r="P401" s="311" t="s">
        <v>3780</v>
      </c>
    </row>
    <row r="402" s="107" customFormat="1" ht="20.1" customHeight="1" spans="1:16">
      <c r="A402" s="283" t="s">
        <v>580</v>
      </c>
      <c r="B402" s="323" t="s">
        <v>2028</v>
      </c>
      <c r="C402" s="285">
        <f t="shared" ref="C402:J402" si="81">SUM(C403:C406)</f>
        <v>3244</v>
      </c>
      <c r="D402" s="285">
        <f t="shared" si="75"/>
        <v>170</v>
      </c>
      <c r="E402" s="285">
        <f t="shared" si="81"/>
        <v>0</v>
      </c>
      <c r="F402" s="285">
        <f t="shared" si="81"/>
        <v>0</v>
      </c>
      <c r="G402" s="285">
        <f t="shared" si="81"/>
        <v>0</v>
      </c>
      <c r="H402" s="285">
        <f t="shared" si="81"/>
        <v>0</v>
      </c>
      <c r="I402" s="285">
        <f t="shared" si="81"/>
        <v>170</v>
      </c>
      <c r="J402" s="324">
        <f t="shared" si="81"/>
        <v>5.24</v>
      </c>
      <c r="K402" s="300" t="s">
        <v>3551</v>
      </c>
      <c r="L402" s="301"/>
      <c r="M402" s="312" t="s">
        <v>580</v>
      </c>
      <c r="N402" s="312" t="s">
        <v>578</v>
      </c>
      <c r="O402" s="312" t="s">
        <v>580</v>
      </c>
      <c r="P402" s="313" t="s">
        <v>3781</v>
      </c>
    </row>
    <row r="403" s="106" customFormat="1" ht="20.1" customHeight="1" spans="1:16">
      <c r="A403" s="279" t="s">
        <v>2029</v>
      </c>
      <c r="B403" s="286" t="s">
        <v>1458</v>
      </c>
      <c r="C403" s="287">
        <v>3244</v>
      </c>
      <c r="D403" s="288">
        <f t="shared" si="75"/>
        <v>170</v>
      </c>
      <c r="E403" s="287"/>
      <c r="F403" s="287"/>
      <c r="G403" s="287"/>
      <c r="H403" s="287"/>
      <c r="I403" s="302">
        <v>170</v>
      </c>
      <c r="J403" s="303">
        <f t="shared" si="80"/>
        <v>5.24</v>
      </c>
      <c r="K403" s="294" t="s">
        <v>3555</v>
      </c>
      <c r="L403" s="44">
        <v>1</v>
      </c>
      <c r="M403" s="308" t="s">
        <v>2029</v>
      </c>
      <c r="N403" s="308"/>
      <c r="O403" s="308" t="s">
        <v>580</v>
      </c>
      <c r="P403" s="314" t="s">
        <v>3556</v>
      </c>
    </row>
    <row r="404" s="106" customFormat="1" ht="20.1" customHeight="1" spans="1:16">
      <c r="A404" s="279" t="s">
        <v>2030</v>
      </c>
      <c r="B404" s="286" t="s">
        <v>1460</v>
      </c>
      <c r="C404" s="287"/>
      <c r="D404" s="288">
        <f t="shared" si="75"/>
        <v>0</v>
      </c>
      <c r="E404" s="287"/>
      <c r="F404" s="287"/>
      <c r="G404" s="287"/>
      <c r="H404" s="287"/>
      <c r="I404" s="302"/>
      <c r="J404" s="303">
        <f t="shared" si="80"/>
        <v>0</v>
      </c>
      <c r="K404" s="294" t="s">
        <v>3555</v>
      </c>
      <c r="L404" s="44">
        <v>1</v>
      </c>
      <c r="M404" s="308" t="s">
        <v>2030</v>
      </c>
      <c r="N404" s="308"/>
      <c r="O404" s="308" t="s">
        <v>580</v>
      </c>
      <c r="P404" s="314" t="s">
        <v>3557</v>
      </c>
    </row>
    <row r="405" s="106" customFormat="1" ht="20.1" customHeight="1" spans="1:16">
      <c r="A405" s="279" t="s">
        <v>2031</v>
      </c>
      <c r="B405" s="286" t="s">
        <v>1462</v>
      </c>
      <c r="C405" s="287"/>
      <c r="D405" s="288">
        <f t="shared" si="75"/>
        <v>0</v>
      </c>
      <c r="E405" s="287"/>
      <c r="F405" s="287"/>
      <c r="G405" s="287"/>
      <c r="H405" s="287"/>
      <c r="I405" s="302"/>
      <c r="J405" s="303">
        <f t="shared" si="80"/>
        <v>0</v>
      </c>
      <c r="K405" s="294" t="s">
        <v>3555</v>
      </c>
      <c r="L405" s="44">
        <v>1</v>
      </c>
      <c r="M405" s="308" t="s">
        <v>2031</v>
      </c>
      <c r="N405" s="308"/>
      <c r="O405" s="308" t="s">
        <v>580</v>
      </c>
      <c r="P405" s="314" t="s">
        <v>3558</v>
      </c>
    </row>
    <row r="406" s="106" customFormat="1" ht="20.1" customHeight="1" spans="1:16">
      <c r="A406" s="279" t="s">
        <v>2032</v>
      </c>
      <c r="B406" s="289" t="s">
        <v>2033</v>
      </c>
      <c r="C406" s="287"/>
      <c r="D406" s="288">
        <f t="shared" si="75"/>
        <v>0</v>
      </c>
      <c r="E406" s="287"/>
      <c r="F406" s="287"/>
      <c r="G406" s="287"/>
      <c r="H406" s="287"/>
      <c r="I406" s="302"/>
      <c r="J406" s="303">
        <f t="shared" si="80"/>
        <v>0</v>
      </c>
      <c r="K406" s="294" t="s">
        <v>3555</v>
      </c>
      <c r="L406" s="44">
        <v>1</v>
      </c>
      <c r="M406" s="308" t="s">
        <v>2032</v>
      </c>
      <c r="N406" s="308"/>
      <c r="O406" s="308" t="s">
        <v>580</v>
      </c>
      <c r="P406" s="309" t="s">
        <v>3782</v>
      </c>
    </row>
    <row r="407" s="107" customFormat="1" ht="20.1" customHeight="1" spans="1:16">
      <c r="A407" s="283" t="s">
        <v>582</v>
      </c>
      <c r="B407" s="323" t="s">
        <v>2034</v>
      </c>
      <c r="C407" s="285">
        <f t="shared" ref="C407:I407" si="82">SUM(C408:C413)</f>
        <v>68826</v>
      </c>
      <c r="D407" s="285">
        <f t="shared" si="75"/>
        <v>82576</v>
      </c>
      <c r="E407" s="285">
        <f t="shared" si="82"/>
        <v>19543</v>
      </c>
      <c r="F407" s="285">
        <f t="shared" si="82"/>
        <v>0</v>
      </c>
      <c r="G407" s="285">
        <f t="shared" si="82"/>
        <v>4019</v>
      </c>
      <c r="H407" s="285">
        <f t="shared" si="82"/>
        <v>0</v>
      </c>
      <c r="I407" s="285">
        <f t="shared" si="82"/>
        <v>59014</v>
      </c>
      <c r="J407" s="324">
        <f t="shared" si="80"/>
        <v>119.98</v>
      </c>
      <c r="K407" s="300" t="s">
        <v>3551</v>
      </c>
      <c r="L407" s="301"/>
      <c r="M407" s="312" t="s">
        <v>582</v>
      </c>
      <c r="N407" s="312" t="s">
        <v>578</v>
      </c>
      <c r="O407" s="312" t="s">
        <v>582</v>
      </c>
      <c r="P407" s="313" t="s">
        <v>3783</v>
      </c>
    </row>
    <row r="408" s="106" customFormat="1" ht="20.1" customHeight="1" spans="1:16">
      <c r="A408" s="279" t="s">
        <v>2035</v>
      </c>
      <c r="B408" s="286" t="s">
        <v>2036</v>
      </c>
      <c r="C408" s="287">
        <v>2419</v>
      </c>
      <c r="D408" s="288">
        <f t="shared" si="75"/>
        <v>4394</v>
      </c>
      <c r="E408" s="287">
        <v>1186</v>
      </c>
      <c r="F408" s="287"/>
      <c r="G408" s="287">
        <v>1073</v>
      </c>
      <c r="H408" s="287"/>
      <c r="I408" s="302">
        <v>2135</v>
      </c>
      <c r="J408" s="303">
        <f t="shared" si="80"/>
        <v>181.65</v>
      </c>
      <c r="K408" s="294" t="s">
        <v>3555</v>
      </c>
      <c r="L408" s="44">
        <v>1</v>
      </c>
      <c r="M408" s="308" t="s">
        <v>2035</v>
      </c>
      <c r="N408" s="308"/>
      <c r="O408" s="308" t="s">
        <v>582</v>
      </c>
      <c r="P408" s="309" t="s">
        <v>3784</v>
      </c>
    </row>
    <row r="409" s="106" customFormat="1" ht="20.1" customHeight="1" spans="1:16">
      <c r="A409" s="279" t="s">
        <v>2037</v>
      </c>
      <c r="B409" s="286" t="s">
        <v>2038</v>
      </c>
      <c r="C409" s="287">
        <v>34423</v>
      </c>
      <c r="D409" s="288">
        <f t="shared" si="75"/>
        <v>41537</v>
      </c>
      <c r="E409" s="287">
        <v>7592</v>
      </c>
      <c r="F409" s="287"/>
      <c r="G409" s="287">
        <v>1884</v>
      </c>
      <c r="H409" s="287"/>
      <c r="I409" s="302">
        <v>32061</v>
      </c>
      <c r="J409" s="303">
        <f t="shared" si="80"/>
        <v>120.67</v>
      </c>
      <c r="K409" s="294" t="s">
        <v>3555</v>
      </c>
      <c r="L409" s="44">
        <v>1</v>
      </c>
      <c r="M409" s="308" t="s">
        <v>2037</v>
      </c>
      <c r="N409" s="308"/>
      <c r="O409" s="308" t="s">
        <v>582</v>
      </c>
      <c r="P409" s="309" t="s">
        <v>3785</v>
      </c>
    </row>
    <row r="410" s="106" customFormat="1" ht="20.1" customHeight="1" spans="1:16">
      <c r="A410" s="279" t="s">
        <v>2039</v>
      </c>
      <c r="B410" s="289" t="s">
        <v>2040</v>
      </c>
      <c r="C410" s="287">
        <v>20911</v>
      </c>
      <c r="D410" s="288">
        <f t="shared" si="75"/>
        <v>22655</v>
      </c>
      <c r="E410" s="287">
        <v>6614</v>
      </c>
      <c r="F410" s="287"/>
      <c r="G410" s="287">
        <v>571</v>
      </c>
      <c r="H410" s="287"/>
      <c r="I410" s="302">
        <v>15470</v>
      </c>
      <c r="J410" s="303">
        <f t="shared" si="80"/>
        <v>108.34</v>
      </c>
      <c r="K410" s="294" t="s">
        <v>3555</v>
      </c>
      <c r="L410" s="44">
        <v>1</v>
      </c>
      <c r="M410" s="308" t="s">
        <v>2039</v>
      </c>
      <c r="N410" s="308"/>
      <c r="O410" s="308" t="s">
        <v>582</v>
      </c>
      <c r="P410" s="309" t="s">
        <v>3786</v>
      </c>
    </row>
    <row r="411" s="106" customFormat="1" ht="20.1" customHeight="1" spans="1:16">
      <c r="A411" s="279" t="s">
        <v>2041</v>
      </c>
      <c r="B411" s="289" t="s">
        <v>2042</v>
      </c>
      <c r="C411" s="287">
        <v>10059</v>
      </c>
      <c r="D411" s="288">
        <f t="shared" si="75"/>
        <v>12663</v>
      </c>
      <c r="E411" s="287">
        <v>4151</v>
      </c>
      <c r="F411" s="287"/>
      <c r="G411" s="287">
        <v>491</v>
      </c>
      <c r="H411" s="287"/>
      <c r="I411" s="302">
        <v>8021</v>
      </c>
      <c r="J411" s="303">
        <f t="shared" si="80"/>
        <v>125.89</v>
      </c>
      <c r="K411" s="294" t="s">
        <v>3555</v>
      </c>
      <c r="L411" s="44">
        <v>1</v>
      </c>
      <c r="M411" s="308" t="s">
        <v>2041</v>
      </c>
      <c r="N411" s="308"/>
      <c r="O411" s="308" t="s">
        <v>582</v>
      </c>
      <c r="P411" s="309" t="s">
        <v>3787</v>
      </c>
    </row>
    <row r="412" s="106" customFormat="1" ht="20.1" customHeight="1" spans="1:16">
      <c r="A412" s="279" t="s">
        <v>2043</v>
      </c>
      <c r="B412" s="289" t="s">
        <v>2044</v>
      </c>
      <c r="C412" s="287">
        <v>193</v>
      </c>
      <c r="D412" s="288">
        <f t="shared" si="75"/>
        <v>50</v>
      </c>
      <c r="E412" s="287"/>
      <c r="F412" s="287"/>
      <c r="G412" s="287"/>
      <c r="H412" s="287"/>
      <c r="I412" s="302">
        <v>50</v>
      </c>
      <c r="J412" s="303">
        <f t="shared" si="80"/>
        <v>25.91</v>
      </c>
      <c r="K412" s="294" t="s">
        <v>3555</v>
      </c>
      <c r="L412" s="44">
        <v>1</v>
      </c>
      <c r="M412" s="308" t="s">
        <v>2043</v>
      </c>
      <c r="N412" s="308"/>
      <c r="O412" s="308" t="s">
        <v>582</v>
      </c>
      <c r="P412" s="309" t="s">
        <v>3788</v>
      </c>
    </row>
    <row r="413" s="106" customFormat="1" ht="20.1" customHeight="1" spans="1:16">
      <c r="A413" s="279" t="s">
        <v>2045</v>
      </c>
      <c r="B413" s="286" t="s">
        <v>2046</v>
      </c>
      <c r="C413" s="287">
        <v>821</v>
      </c>
      <c r="D413" s="288">
        <f t="shared" si="75"/>
        <v>1277</v>
      </c>
      <c r="E413" s="287"/>
      <c r="F413" s="287"/>
      <c r="G413" s="287"/>
      <c r="H413" s="287"/>
      <c r="I413" s="302">
        <v>1277</v>
      </c>
      <c r="J413" s="303">
        <f t="shared" si="80"/>
        <v>155.54</v>
      </c>
      <c r="K413" s="294" t="s">
        <v>3555</v>
      </c>
      <c r="L413" s="44">
        <v>1</v>
      </c>
      <c r="M413" s="308" t="s">
        <v>2045</v>
      </c>
      <c r="N413" s="308"/>
      <c r="O413" s="308" t="s">
        <v>582</v>
      </c>
      <c r="P413" s="309" t="s">
        <v>3789</v>
      </c>
    </row>
    <row r="414" s="107" customFormat="1" ht="20.1" customHeight="1" spans="1:16">
      <c r="A414" s="283" t="s">
        <v>584</v>
      </c>
      <c r="B414" s="323" t="s">
        <v>2047</v>
      </c>
      <c r="C414" s="285">
        <f t="shared" ref="C414:I414" si="83">SUM(C415:C419)</f>
        <v>143</v>
      </c>
      <c r="D414" s="285">
        <f t="shared" si="75"/>
        <v>77</v>
      </c>
      <c r="E414" s="285">
        <f t="shared" si="83"/>
        <v>0</v>
      </c>
      <c r="F414" s="285">
        <f t="shared" si="83"/>
        <v>0</v>
      </c>
      <c r="G414" s="285">
        <f t="shared" si="83"/>
        <v>77</v>
      </c>
      <c r="H414" s="285">
        <f t="shared" si="83"/>
        <v>0</v>
      </c>
      <c r="I414" s="285">
        <f t="shared" si="83"/>
        <v>0</v>
      </c>
      <c r="J414" s="324">
        <f t="shared" si="80"/>
        <v>53.85</v>
      </c>
      <c r="K414" s="300" t="s">
        <v>3551</v>
      </c>
      <c r="L414" s="301"/>
      <c r="M414" s="312" t="s">
        <v>584</v>
      </c>
      <c r="N414" s="312" t="s">
        <v>578</v>
      </c>
      <c r="O414" s="312" t="s">
        <v>584</v>
      </c>
      <c r="P414" s="313" t="s">
        <v>3790</v>
      </c>
    </row>
    <row r="415" s="106" customFormat="1" ht="20.1" customHeight="1" spans="1:16">
      <c r="A415" s="279" t="s">
        <v>2048</v>
      </c>
      <c r="B415" s="286" t="s">
        <v>2049</v>
      </c>
      <c r="C415" s="287"/>
      <c r="D415" s="288">
        <f t="shared" si="75"/>
        <v>0</v>
      </c>
      <c r="E415" s="287"/>
      <c r="F415" s="287"/>
      <c r="G415" s="287"/>
      <c r="H415" s="287"/>
      <c r="I415" s="302"/>
      <c r="J415" s="303">
        <f t="shared" si="80"/>
        <v>0</v>
      </c>
      <c r="K415" s="294" t="s">
        <v>3555</v>
      </c>
      <c r="L415" s="44">
        <v>1</v>
      </c>
      <c r="M415" s="308" t="s">
        <v>2048</v>
      </c>
      <c r="N415" s="308"/>
      <c r="O415" s="308" t="s">
        <v>584</v>
      </c>
      <c r="P415" s="309" t="s">
        <v>3791</v>
      </c>
    </row>
    <row r="416" s="106" customFormat="1" ht="20.1" customHeight="1" spans="1:16">
      <c r="A416" s="279" t="s">
        <v>2050</v>
      </c>
      <c r="B416" s="286" t="s">
        <v>2051</v>
      </c>
      <c r="C416" s="287"/>
      <c r="D416" s="288">
        <f t="shared" si="75"/>
        <v>0</v>
      </c>
      <c r="E416" s="287"/>
      <c r="F416" s="287"/>
      <c r="G416" s="287"/>
      <c r="H416" s="287"/>
      <c r="I416" s="302"/>
      <c r="J416" s="303">
        <f t="shared" si="80"/>
        <v>0</v>
      </c>
      <c r="K416" s="294" t="s">
        <v>3555</v>
      </c>
      <c r="L416" s="44">
        <v>1</v>
      </c>
      <c r="M416" s="308" t="s">
        <v>2050</v>
      </c>
      <c r="N416" s="308"/>
      <c r="O416" s="308" t="s">
        <v>584</v>
      </c>
      <c r="P416" s="309" t="s">
        <v>3792</v>
      </c>
    </row>
    <row r="417" s="106" customFormat="1" ht="20.1" customHeight="1" spans="1:16">
      <c r="A417" s="279" t="s">
        <v>2052</v>
      </c>
      <c r="B417" s="286" t="s">
        <v>2053</v>
      </c>
      <c r="C417" s="287"/>
      <c r="D417" s="288">
        <f t="shared" si="75"/>
        <v>0</v>
      </c>
      <c r="E417" s="287"/>
      <c r="F417" s="287"/>
      <c r="G417" s="287"/>
      <c r="H417" s="287"/>
      <c r="I417" s="302"/>
      <c r="J417" s="303">
        <f t="shared" si="80"/>
        <v>0</v>
      </c>
      <c r="K417" s="294" t="s">
        <v>3555</v>
      </c>
      <c r="L417" s="44">
        <v>1</v>
      </c>
      <c r="M417" s="308" t="s">
        <v>2052</v>
      </c>
      <c r="N417" s="308"/>
      <c r="O417" s="308" t="s">
        <v>584</v>
      </c>
      <c r="P417" s="309" t="s">
        <v>3793</v>
      </c>
    </row>
    <row r="418" s="106" customFormat="1" ht="20.1" customHeight="1" spans="1:16">
      <c r="A418" s="279" t="s">
        <v>2054</v>
      </c>
      <c r="B418" s="289" t="s">
        <v>2055</v>
      </c>
      <c r="C418" s="287"/>
      <c r="D418" s="288">
        <f t="shared" si="75"/>
        <v>0</v>
      </c>
      <c r="E418" s="287"/>
      <c r="F418" s="287"/>
      <c r="G418" s="287"/>
      <c r="H418" s="287"/>
      <c r="I418" s="302"/>
      <c r="J418" s="303">
        <f t="shared" si="80"/>
        <v>0</v>
      </c>
      <c r="K418" s="294" t="s">
        <v>3555</v>
      </c>
      <c r="L418" s="44">
        <v>1</v>
      </c>
      <c r="M418" s="308" t="s">
        <v>2054</v>
      </c>
      <c r="N418" s="308"/>
      <c r="O418" s="308" t="s">
        <v>584</v>
      </c>
      <c r="P418" s="309" t="s">
        <v>3794</v>
      </c>
    </row>
    <row r="419" s="106" customFormat="1" ht="20.1" customHeight="1" spans="1:16">
      <c r="A419" s="279" t="s">
        <v>2056</v>
      </c>
      <c r="B419" s="289" t="s">
        <v>2057</v>
      </c>
      <c r="C419" s="287">
        <v>143</v>
      </c>
      <c r="D419" s="288">
        <f t="shared" si="75"/>
        <v>77</v>
      </c>
      <c r="E419" s="287"/>
      <c r="F419" s="287"/>
      <c r="G419" s="287">
        <v>77</v>
      </c>
      <c r="H419" s="287"/>
      <c r="I419" s="302"/>
      <c r="J419" s="303">
        <f t="shared" si="80"/>
        <v>53.85</v>
      </c>
      <c r="K419" s="294" t="s">
        <v>3555</v>
      </c>
      <c r="L419" s="44">
        <v>1</v>
      </c>
      <c r="M419" s="308" t="s">
        <v>2056</v>
      </c>
      <c r="N419" s="308"/>
      <c r="O419" s="308" t="s">
        <v>584</v>
      </c>
      <c r="P419" s="309" t="s">
        <v>3795</v>
      </c>
    </row>
    <row r="420" s="107" customFormat="1" ht="20.1" customHeight="1" spans="1:16">
      <c r="A420" s="283" t="s">
        <v>586</v>
      </c>
      <c r="B420" s="323" t="s">
        <v>2058</v>
      </c>
      <c r="C420" s="285">
        <v>0</v>
      </c>
      <c r="D420" s="285">
        <f t="shared" si="75"/>
        <v>0</v>
      </c>
      <c r="E420" s="285">
        <f t="shared" ref="E420:H420" si="84">SUM(E421:E425)</f>
        <v>0</v>
      </c>
      <c r="F420" s="285">
        <f t="shared" si="84"/>
        <v>0</v>
      </c>
      <c r="G420" s="285">
        <f>VLOOKUP(A420,[1]√表四、2025年公共财政支出变动表!$A$8:$S$221,18,FALSE)</f>
        <v>0</v>
      </c>
      <c r="H420" s="285">
        <f t="shared" si="84"/>
        <v>0</v>
      </c>
      <c r="I420" s="285"/>
      <c r="J420" s="324">
        <f t="shared" si="80"/>
        <v>0</v>
      </c>
      <c r="K420" s="300" t="s">
        <v>3551</v>
      </c>
      <c r="L420" s="301"/>
      <c r="M420" s="312" t="s">
        <v>586</v>
      </c>
      <c r="N420" s="312" t="s">
        <v>578</v>
      </c>
      <c r="O420" s="312" t="s">
        <v>586</v>
      </c>
      <c r="P420" s="313" t="s">
        <v>3796</v>
      </c>
    </row>
    <row r="421" s="106" customFormat="1" ht="20.1" customHeight="1" spans="1:16">
      <c r="A421" s="279" t="s">
        <v>2059</v>
      </c>
      <c r="B421" s="286" t="s">
        <v>2060</v>
      </c>
      <c r="C421" s="287">
        <v>0</v>
      </c>
      <c r="D421" s="288">
        <f t="shared" si="75"/>
        <v>0</v>
      </c>
      <c r="E421" s="287"/>
      <c r="F421" s="287"/>
      <c r="G421" s="287"/>
      <c r="H421" s="287"/>
      <c r="I421" s="302"/>
      <c r="J421" s="303">
        <f t="shared" si="80"/>
        <v>0</v>
      </c>
      <c r="K421" s="294" t="s">
        <v>3555</v>
      </c>
      <c r="L421" s="44">
        <v>1</v>
      </c>
      <c r="M421" s="308" t="s">
        <v>2059</v>
      </c>
      <c r="N421" s="308"/>
      <c r="O421" s="308" t="s">
        <v>586</v>
      </c>
      <c r="P421" s="309" t="s">
        <v>3797</v>
      </c>
    </row>
    <row r="422" s="106" customFormat="1" ht="20.1" customHeight="1" spans="1:16">
      <c r="A422" s="279" t="s">
        <v>2061</v>
      </c>
      <c r="B422" s="286" t="s">
        <v>2062</v>
      </c>
      <c r="C422" s="287">
        <v>0</v>
      </c>
      <c r="D422" s="288">
        <f t="shared" si="75"/>
        <v>0</v>
      </c>
      <c r="E422" s="287"/>
      <c r="F422" s="287"/>
      <c r="G422" s="287"/>
      <c r="H422" s="287"/>
      <c r="I422" s="302"/>
      <c r="J422" s="303">
        <f t="shared" si="80"/>
        <v>0</v>
      </c>
      <c r="K422" s="294" t="s">
        <v>3555</v>
      </c>
      <c r="L422" s="44">
        <v>1</v>
      </c>
      <c r="M422" s="308" t="s">
        <v>2061</v>
      </c>
      <c r="N422" s="308"/>
      <c r="O422" s="308" t="s">
        <v>586</v>
      </c>
      <c r="P422" s="309" t="s">
        <v>3798</v>
      </c>
    </row>
    <row r="423" s="106" customFormat="1" ht="20.1" customHeight="1" spans="1:16">
      <c r="A423" s="279" t="s">
        <v>2063</v>
      </c>
      <c r="B423" s="286" t="s">
        <v>2064</v>
      </c>
      <c r="C423" s="287">
        <v>0</v>
      </c>
      <c r="D423" s="288">
        <f t="shared" si="75"/>
        <v>0</v>
      </c>
      <c r="E423" s="287"/>
      <c r="F423" s="287"/>
      <c r="G423" s="287"/>
      <c r="H423" s="287"/>
      <c r="I423" s="302"/>
      <c r="J423" s="303">
        <f t="shared" si="80"/>
        <v>0</v>
      </c>
      <c r="K423" s="294" t="s">
        <v>3555</v>
      </c>
      <c r="L423" s="44">
        <v>1</v>
      </c>
      <c r="M423" s="308" t="s">
        <v>2063</v>
      </c>
      <c r="N423" s="308"/>
      <c r="O423" s="308" t="s">
        <v>586</v>
      </c>
      <c r="P423" s="309" t="s">
        <v>3799</v>
      </c>
    </row>
    <row r="424" s="106" customFormat="1" ht="20.1" customHeight="1" spans="1:16">
      <c r="A424" s="279" t="s">
        <v>2065</v>
      </c>
      <c r="B424" s="289" t="s">
        <v>2066</v>
      </c>
      <c r="C424" s="287">
        <v>0</v>
      </c>
      <c r="D424" s="288">
        <f t="shared" si="75"/>
        <v>0</v>
      </c>
      <c r="E424" s="287"/>
      <c r="F424" s="287"/>
      <c r="G424" s="287"/>
      <c r="H424" s="287"/>
      <c r="I424" s="302"/>
      <c r="J424" s="303">
        <f t="shared" si="80"/>
        <v>0</v>
      </c>
      <c r="K424" s="294" t="s">
        <v>3555</v>
      </c>
      <c r="L424" s="44">
        <v>1</v>
      </c>
      <c r="M424" s="308" t="s">
        <v>2065</v>
      </c>
      <c r="N424" s="308"/>
      <c r="O424" s="308" t="s">
        <v>586</v>
      </c>
      <c r="P424" s="309" t="s">
        <v>3800</v>
      </c>
    </row>
    <row r="425" s="106" customFormat="1" ht="20.1" customHeight="1" spans="1:16">
      <c r="A425" s="279" t="s">
        <v>2067</v>
      </c>
      <c r="B425" s="289" t="s">
        <v>2068</v>
      </c>
      <c r="C425" s="287">
        <v>0</v>
      </c>
      <c r="D425" s="288">
        <f t="shared" si="75"/>
        <v>0</v>
      </c>
      <c r="E425" s="287"/>
      <c r="F425" s="287"/>
      <c r="G425" s="287"/>
      <c r="H425" s="287"/>
      <c r="I425" s="302"/>
      <c r="J425" s="303">
        <f t="shared" si="80"/>
        <v>0</v>
      </c>
      <c r="K425" s="294" t="s">
        <v>3555</v>
      </c>
      <c r="L425" s="44">
        <v>1</v>
      </c>
      <c r="M425" s="308" t="s">
        <v>2067</v>
      </c>
      <c r="N425" s="308"/>
      <c r="O425" s="308" t="s">
        <v>586</v>
      </c>
      <c r="P425" s="309" t="s">
        <v>3801</v>
      </c>
    </row>
    <row r="426" s="107" customFormat="1" ht="20.1" customHeight="1" spans="1:16">
      <c r="A426" s="283" t="s">
        <v>588</v>
      </c>
      <c r="B426" s="323" t="s">
        <v>2069</v>
      </c>
      <c r="C426" s="285"/>
      <c r="D426" s="285">
        <f t="shared" si="75"/>
        <v>0</v>
      </c>
      <c r="E426" s="285">
        <f t="shared" ref="E426:H426" si="85">SUM(E427:E429)</f>
        <v>0</v>
      </c>
      <c r="F426" s="285">
        <f t="shared" si="85"/>
        <v>0</v>
      </c>
      <c r="G426" s="285">
        <f>VLOOKUP(A426,[1]√表四、2025年公共财政支出变动表!$A$8:$S$221,18,FALSE)</f>
        <v>0</v>
      </c>
      <c r="H426" s="285">
        <f t="shared" si="85"/>
        <v>0</v>
      </c>
      <c r="I426" s="285"/>
      <c r="J426" s="324">
        <f t="shared" si="80"/>
        <v>0</v>
      </c>
      <c r="K426" s="300" t="s">
        <v>3551</v>
      </c>
      <c r="L426" s="301"/>
      <c r="M426" s="312" t="s">
        <v>588</v>
      </c>
      <c r="N426" s="312" t="s">
        <v>578</v>
      </c>
      <c r="O426" s="312" t="s">
        <v>588</v>
      </c>
      <c r="P426" s="313" t="s">
        <v>3802</v>
      </c>
    </row>
    <row r="427" s="106" customFormat="1" ht="20.1" customHeight="1" spans="1:16">
      <c r="A427" s="279" t="s">
        <v>2070</v>
      </c>
      <c r="B427" s="286" t="s">
        <v>2071</v>
      </c>
      <c r="C427" s="287">
        <v>0</v>
      </c>
      <c r="D427" s="288">
        <f t="shared" si="75"/>
        <v>0</v>
      </c>
      <c r="E427" s="287"/>
      <c r="F427" s="287"/>
      <c r="G427" s="287"/>
      <c r="H427" s="287"/>
      <c r="I427" s="302"/>
      <c r="J427" s="303">
        <f t="shared" si="80"/>
        <v>0</v>
      </c>
      <c r="K427" s="294" t="s">
        <v>3555</v>
      </c>
      <c r="L427" s="44">
        <v>1</v>
      </c>
      <c r="M427" s="308" t="s">
        <v>2070</v>
      </c>
      <c r="N427" s="308"/>
      <c r="O427" s="308" t="s">
        <v>588</v>
      </c>
      <c r="P427" s="309" t="s">
        <v>3803</v>
      </c>
    </row>
    <row r="428" s="106" customFormat="1" ht="20.1" customHeight="1" spans="1:16">
      <c r="A428" s="279" t="s">
        <v>2072</v>
      </c>
      <c r="B428" s="286" t="s">
        <v>2073</v>
      </c>
      <c r="C428" s="287"/>
      <c r="D428" s="288">
        <f t="shared" si="75"/>
        <v>0</v>
      </c>
      <c r="E428" s="287"/>
      <c r="F428" s="287"/>
      <c r="G428" s="287"/>
      <c r="H428" s="287"/>
      <c r="I428" s="302"/>
      <c r="J428" s="303">
        <f t="shared" si="80"/>
        <v>0</v>
      </c>
      <c r="K428" s="294" t="s">
        <v>3555</v>
      </c>
      <c r="L428" s="44">
        <v>1</v>
      </c>
      <c r="M428" s="308" t="s">
        <v>2072</v>
      </c>
      <c r="N428" s="308"/>
      <c r="O428" s="308" t="s">
        <v>588</v>
      </c>
      <c r="P428" s="309" t="s">
        <v>3804</v>
      </c>
    </row>
    <row r="429" s="106" customFormat="1" ht="20.1" customHeight="1" spans="1:16">
      <c r="A429" s="279" t="s">
        <v>2074</v>
      </c>
      <c r="B429" s="286" t="s">
        <v>2075</v>
      </c>
      <c r="C429" s="287">
        <v>0</v>
      </c>
      <c r="D429" s="288">
        <f t="shared" si="75"/>
        <v>0</v>
      </c>
      <c r="E429" s="287"/>
      <c r="F429" s="287"/>
      <c r="G429" s="287"/>
      <c r="H429" s="287"/>
      <c r="I429" s="302"/>
      <c r="J429" s="303">
        <f t="shared" si="80"/>
        <v>0</v>
      </c>
      <c r="K429" s="294" t="s">
        <v>3555</v>
      </c>
      <c r="L429" s="44">
        <v>1</v>
      </c>
      <c r="M429" s="308" t="s">
        <v>2074</v>
      </c>
      <c r="N429" s="308"/>
      <c r="O429" s="308" t="s">
        <v>588</v>
      </c>
      <c r="P429" s="309" t="s">
        <v>3805</v>
      </c>
    </row>
    <row r="430" s="107" customFormat="1" ht="20.1" customHeight="1" spans="1:16">
      <c r="A430" s="283" t="s">
        <v>590</v>
      </c>
      <c r="B430" s="323" t="s">
        <v>2076</v>
      </c>
      <c r="C430" s="285">
        <v>0</v>
      </c>
      <c r="D430" s="285">
        <f t="shared" si="75"/>
        <v>0</v>
      </c>
      <c r="E430" s="285">
        <f t="shared" ref="E430:H430" si="86">SUM(E431:E433)</f>
        <v>0</v>
      </c>
      <c r="F430" s="285">
        <f t="shared" si="86"/>
        <v>0</v>
      </c>
      <c r="G430" s="285">
        <f>VLOOKUP(A430,[1]√表四、2025年公共财政支出变动表!$A$8:$S$221,18,FALSE)</f>
        <v>0</v>
      </c>
      <c r="H430" s="285">
        <f t="shared" si="86"/>
        <v>0</v>
      </c>
      <c r="I430" s="285"/>
      <c r="J430" s="324">
        <f t="shared" si="80"/>
        <v>0</v>
      </c>
      <c r="K430" s="300" t="s">
        <v>3551</v>
      </c>
      <c r="L430" s="301"/>
      <c r="M430" s="312" t="s">
        <v>590</v>
      </c>
      <c r="N430" s="312" t="s">
        <v>578</v>
      </c>
      <c r="O430" s="312" t="s">
        <v>590</v>
      </c>
      <c r="P430" s="313" t="s">
        <v>3806</v>
      </c>
    </row>
    <row r="431" s="106" customFormat="1" ht="20.1" customHeight="1" spans="1:16">
      <c r="A431" s="279" t="s">
        <v>2077</v>
      </c>
      <c r="B431" s="289" t="s">
        <v>2078</v>
      </c>
      <c r="C431" s="287">
        <v>0</v>
      </c>
      <c r="D431" s="288">
        <f t="shared" si="75"/>
        <v>0</v>
      </c>
      <c r="E431" s="287"/>
      <c r="F431" s="287"/>
      <c r="G431" s="287"/>
      <c r="H431" s="287"/>
      <c r="I431" s="302"/>
      <c r="J431" s="303">
        <f t="shared" si="80"/>
        <v>0</v>
      </c>
      <c r="K431" s="294" t="s">
        <v>3555</v>
      </c>
      <c r="L431" s="44">
        <v>1</v>
      </c>
      <c r="M431" s="308" t="s">
        <v>2077</v>
      </c>
      <c r="N431" s="308"/>
      <c r="O431" s="308" t="s">
        <v>590</v>
      </c>
      <c r="P431" s="309" t="s">
        <v>3807</v>
      </c>
    </row>
    <row r="432" s="106" customFormat="1" ht="20.1" customHeight="1" spans="1:16">
      <c r="A432" s="279" t="s">
        <v>2079</v>
      </c>
      <c r="B432" s="289" t="s">
        <v>2080</v>
      </c>
      <c r="C432" s="287">
        <v>0</v>
      </c>
      <c r="D432" s="288">
        <f t="shared" si="75"/>
        <v>0</v>
      </c>
      <c r="E432" s="287"/>
      <c r="F432" s="287"/>
      <c r="G432" s="287"/>
      <c r="H432" s="287"/>
      <c r="I432" s="302"/>
      <c r="J432" s="303">
        <f t="shared" si="80"/>
        <v>0</v>
      </c>
      <c r="K432" s="294" t="s">
        <v>3555</v>
      </c>
      <c r="L432" s="44">
        <v>1</v>
      </c>
      <c r="M432" s="308" t="s">
        <v>2079</v>
      </c>
      <c r="N432" s="308"/>
      <c r="O432" s="308" t="s">
        <v>590</v>
      </c>
      <c r="P432" s="309" t="s">
        <v>3808</v>
      </c>
    </row>
    <row r="433" s="106" customFormat="1" ht="20.1" customHeight="1" spans="1:16">
      <c r="A433" s="279" t="s">
        <v>2081</v>
      </c>
      <c r="B433" s="41" t="s">
        <v>2082</v>
      </c>
      <c r="C433" s="287">
        <v>0</v>
      </c>
      <c r="D433" s="288">
        <f t="shared" si="75"/>
        <v>0</v>
      </c>
      <c r="E433" s="287"/>
      <c r="F433" s="287"/>
      <c r="G433" s="287"/>
      <c r="H433" s="287"/>
      <c r="I433" s="302"/>
      <c r="J433" s="303">
        <f t="shared" si="80"/>
        <v>0</v>
      </c>
      <c r="K433" s="294" t="s">
        <v>3555</v>
      </c>
      <c r="L433" s="44">
        <v>1</v>
      </c>
      <c r="M433" s="308" t="s">
        <v>2081</v>
      </c>
      <c r="N433" s="308"/>
      <c r="O433" s="308" t="s">
        <v>590</v>
      </c>
      <c r="P433" s="309" t="s">
        <v>3809</v>
      </c>
    </row>
    <row r="434" s="107" customFormat="1" ht="20.1" customHeight="1" spans="1:16">
      <c r="A434" s="283" t="s">
        <v>592</v>
      </c>
      <c r="B434" s="323" t="s">
        <v>2083</v>
      </c>
      <c r="C434" s="285">
        <f t="shared" ref="C434:I434" si="87">SUM(C435:C437)</f>
        <v>387</v>
      </c>
      <c r="D434" s="285">
        <f t="shared" si="75"/>
        <v>295</v>
      </c>
      <c r="E434" s="285">
        <f t="shared" si="87"/>
        <v>0</v>
      </c>
      <c r="F434" s="285">
        <f t="shared" si="87"/>
        <v>0</v>
      </c>
      <c r="G434" s="285">
        <f t="shared" si="87"/>
        <v>11</v>
      </c>
      <c r="H434" s="285">
        <f t="shared" si="87"/>
        <v>0</v>
      </c>
      <c r="I434" s="285">
        <f t="shared" si="87"/>
        <v>284</v>
      </c>
      <c r="J434" s="324">
        <f t="shared" si="80"/>
        <v>76.23</v>
      </c>
      <c r="K434" s="300" t="s">
        <v>3551</v>
      </c>
      <c r="L434" s="301"/>
      <c r="M434" s="312" t="s">
        <v>592</v>
      </c>
      <c r="N434" s="312" t="s">
        <v>578</v>
      </c>
      <c r="O434" s="312" t="s">
        <v>592</v>
      </c>
      <c r="P434" s="313" t="s">
        <v>3810</v>
      </c>
    </row>
    <row r="435" s="106" customFormat="1" ht="20.1" customHeight="1" spans="1:16">
      <c r="A435" s="279" t="s">
        <v>2084</v>
      </c>
      <c r="B435" s="286" t="s">
        <v>2085</v>
      </c>
      <c r="C435" s="287">
        <v>387</v>
      </c>
      <c r="D435" s="288">
        <f t="shared" si="75"/>
        <v>295</v>
      </c>
      <c r="E435" s="287"/>
      <c r="F435" s="287"/>
      <c r="G435" s="287">
        <v>11</v>
      </c>
      <c r="H435" s="287"/>
      <c r="I435" s="302">
        <v>284</v>
      </c>
      <c r="J435" s="303">
        <f t="shared" si="80"/>
        <v>76.23</v>
      </c>
      <c r="K435" s="294" t="s">
        <v>3555</v>
      </c>
      <c r="L435" s="44">
        <v>1</v>
      </c>
      <c r="M435" s="308" t="s">
        <v>2084</v>
      </c>
      <c r="N435" s="308"/>
      <c r="O435" s="308" t="s">
        <v>592</v>
      </c>
      <c r="P435" s="309" t="s">
        <v>3811</v>
      </c>
    </row>
    <row r="436" s="106" customFormat="1" ht="20.1" customHeight="1" spans="1:16">
      <c r="A436" s="279" t="s">
        <v>2086</v>
      </c>
      <c r="B436" s="286" t="s">
        <v>2087</v>
      </c>
      <c r="C436" s="287"/>
      <c r="D436" s="288">
        <f t="shared" si="75"/>
        <v>0</v>
      </c>
      <c r="E436" s="287"/>
      <c r="F436" s="287"/>
      <c r="G436" s="287"/>
      <c r="H436" s="287"/>
      <c r="I436" s="302"/>
      <c r="J436" s="303">
        <f t="shared" si="80"/>
        <v>0</v>
      </c>
      <c r="K436" s="294" t="s">
        <v>3555</v>
      </c>
      <c r="L436" s="44">
        <v>1</v>
      </c>
      <c r="M436" s="308" t="s">
        <v>2086</v>
      </c>
      <c r="N436" s="308"/>
      <c r="O436" s="308" t="s">
        <v>592</v>
      </c>
      <c r="P436" s="309" t="s">
        <v>3812</v>
      </c>
    </row>
    <row r="437" s="106" customFormat="1" ht="20.1" customHeight="1" spans="1:16">
      <c r="A437" s="279" t="s">
        <v>2088</v>
      </c>
      <c r="B437" s="289" t="s">
        <v>2089</v>
      </c>
      <c r="C437" s="287"/>
      <c r="D437" s="288">
        <f t="shared" si="75"/>
        <v>0</v>
      </c>
      <c r="E437" s="287"/>
      <c r="F437" s="287"/>
      <c r="G437" s="287"/>
      <c r="H437" s="287"/>
      <c r="I437" s="302"/>
      <c r="J437" s="303">
        <f t="shared" si="80"/>
        <v>0</v>
      </c>
      <c r="K437" s="294" t="s">
        <v>3555</v>
      </c>
      <c r="L437" s="44">
        <v>1</v>
      </c>
      <c r="M437" s="308" t="s">
        <v>2088</v>
      </c>
      <c r="N437" s="308"/>
      <c r="O437" s="308" t="s">
        <v>592</v>
      </c>
      <c r="P437" s="309" t="s">
        <v>3813</v>
      </c>
    </row>
    <row r="438" s="107" customFormat="1" ht="20.1" customHeight="1" spans="1:16">
      <c r="A438" s="283" t="s">
        <v>594</v>
      </c>
      <c r="B438" s="323" t="s">
        <v>2090</v>
      </c>
      <c r="C438" s="285">
        <f t="shared" ref="C438:I438" si="88">SUM(C439:C443)</f>
        <v>279</v>
      </c>
      <c r="D438" s="285">
        <f t="shared" si="75"/>
        <v>290</v>
      </c>
      <c r="E438" s="285">
        <f t="shared" si="88"/>
        <v>0</v>
      </c>
      <c r="F438" s="285">
        <f t="shared" si="88"/>
        <v>0</v>
      </c>
      <c r="G438" s="285">
        <f t="shared" si="88"/>
        <v>0</v>
      </c>
      <c r="H438" s="285">
        <f t="shared" si="88"/>
        <v>0</v>
      </c>
      <c r="I438" s="285">
        <f t="shared" si="88"/>
        <v>290</v>
      </c>
      <c r="J438" s="324">
        <f t="shared" si="80"/>
        <v>103.94</v>
      </c>
      <c r="K438" s="300" t="s">
        <v>3551</v>
      </c>
      <c r="L438" s="301"/>
      <c r="M438" s="312" t="s">
        <v>594</v>
      </c>
      <c r="N438" s="312" t="s">
        <v>578</v>
      </c>
      <c r="O438" s="312" t="s">
        <v>594</v>
      </c>
      <c r="P438" s="313" t="s">
        <v>3814</v>
      </c>
    </row>
    <row r="439" s="106" customFormat="1" ht="20.1" customHeight="1" spans="1:16">
      <c r="A439" s="279" t="s">
        <v>2091</v>
      </c>
      <c r="B439" s="289" t="s">
        <v>2092</v>
      </c>
      <c r="C439" s="287"/>
      <c r="D439" s="288">
        <f t="shared" si="75"/>
        <v>0</v>
      </c>
      <c r="E439" s="287"/>
      <c r="F439" s="287"/>
      <c r="G439" s="287"/>
      <c r="H439" s="287"/>
      <c r="I439" s="302"/>
      <c r="J439" s="303">
        <f t="shared" si="80"/>
        <v>0</v>
      </c>
      <c r="K439" s="294" t="s">
        <v>3555</v>
      </c>
      <c r="L439" s="44">
        <v>1</v>
      </c>
      <c r="M439" s="308" t="s">
        <v>2091</v>
      </c>
      <c r="N439" s="308"/>
      <c r="O439" s="308" t="s">
        <v>594</v>
      </c>
      <c r="P439" s="309" t="s">
        <v>3815</v>
      </c>
    </row>
    <row r="440" s="106" customFormat="1" ht="20.1" customHeight="1" spans="1:16">
      <c r="A440" s="279" t="s">
        <v>2093</v>
      </c>
      <c r="B440" s="286" t="s">
        <v>2094</v>
      </c>
      <c r="C440" s="287">
        <v>279</v>
      </c>
      <c r="D440" s="288">
        <f t="shared" si="75"/>
        <v>290</v>
      </c>
      <c r="E440" s="287"/>
      <c r="F440" s="287"/>
      <c r="G440" s="287"/>
      <c r="H440" s="287"/>
      <c r="I440" s="302">
        <v>290</v>
      </c>
      <c r="J440" s="303">
        <f t="shared" si="80"/>
        <v>103.94</v>
      </c>
      <c r="K440" s="294" t="s">
        <v>3555</v>
      </c>
      <c r="L440" s="44">
        <v>1</v>
      </c>
      <c r="M440" s="308" t="s">
        <v>2093</v>
      </c>
      <c r="N440" s="308"/>
      <c r="O440" s="308" t="s">
        <v>594</v>
      </c>
      <c r="P440" s="309" t="s">
        <v>3816</v>
      </c>
    </row>
    <row r="441" s="106" customFormat="1" ht="20.1" customHeight="1" spans="1:16">
      <c r="A441" s="279" t="s">
        <v>2095</v>
      </c>
      <c r="B441" s="286" t="s">
        <v>2096</v>
      </c>
      <c r="C441" s="287"/>
      <c r="D441" s="288">
        <f t="shared" si="75"/>
        <v>0</v>
      </c>
      <c r="E441" s="287"/>
      <c r="F441" s="287"/>
      <c r="G441" s="287"/>
      <c r="H441" s="287"/>
      <c r="I441" s="302"/>
      <c r="J441" s="303">
        <f t="shared" si="80"/>
        <v>0</v>
      </c>
      <c r="K441" s="294" t="s">
        <v>3555</v>
      </c>
      <c r="L441" s="44">
        <v>1</v>
      </c>
      <c r="M441" s="308" t="s">
        <v>2095</v>
      </c>
      <c r="N441" s="308"/>
      <c r="O441" s="308" t="s">
        <v>594</v>
      </c>
      <c r="P441" s="309" t="s">
        <v>3817</v>
      </c>
    </row>
    <row r="442" s="106" customFormat="1" ht="20.1" customHeight="1" spans="1:16">
      <c r="A442" s="279" t="s">
        <v>2097</v>
      </c>
      <c r="B442" s="286" t="s">
        <v>2098</v>
      </c>
      <c r="C442" s="287"/>
      <c r="D442" s="288">
        <f t="shared" si="75"/>
        <v>0</v>
      </c>
      <c r="E442" s="287"/>
      <c r="F442" s="287"/>
      <c r="G442" s="287"/>
      <c r="H442" s="287"/>
      <c r="I442" s="302"/>
      <c r="J442" s="303">
        <f t="shared" si="80"/>
        <v>0</v>
      </c>
      <c r="K442" s="294" t="s">
        <v>3555</v>
      </c>
      <c r="L442" s="44">
        <v>1</v>
      </c>
      <c r="M442" s="308" t="s">
        <v>2097</v>
      </c>
      <c r="N442" s="308"/>
      <c r="O442" s="308" t="s">
        <v>594</v>
      </c>
      <c r="P442" s="309" t="s">
        <v>3818</v>
      </c>
    </row>
    <row r="443" s="106" customFormat="1" ht="20.1" customHeight="1" spans="1:16">
      <c r="A443" s="279" t="s">
        <v>2099</v>
      </c>
      <c r="B443" s="286" t="s">
        <v>2100</v>
      </c>
      <c r="C443" s="287"/>
      <c r="D443" s="288">
        <f t="shared" si="75"/>
        <v>0</v>
      </c>
      <c r="E443" s="287"/>
      <c r="F443" s="287"/>
      <c r="G443" s="287"/>
      <c r="H443" s="287"/>
      <c r="I443" s="302"/>
      <c r="J443" s="303">
        <f t="shared" si="80"/>
        <v>0</v>
      </c>
      <c r="K443" s="294" t="s">
        <v>3555</v>
      </c>
      <c r="L443" s="44">
        <v>1</v>
      </c>
      <c r="M443" s="308" t="s">
        <v>2099</v>
      </c>
      <c r="N443" s="308"/>
      <c r="O443" s="308" t="s">
        <v>594</v>
      </c>
      <c r="P443" s="309" t="s">
        <v>3819</v>
      </c>
    </row>
    <row r="444" s="107" customFormat="1" ht="20.1" customHeight="1" spans="1:16">
      <c r="A444" s="283" t="s">
        <v>596</v>
      </c>
      <c r="B444" s="689" t="s">
        <v>2101</v>
      </c>
      <c r="C444" s="285">
        <f t="shared" ref="C444:I444" si="89">SUM(C445:C450)</f>
        <v>14</v>
      </c>
      <c r="D444" s="285">
        <f t="shared" si="75"/>
        <v>940</v>
      </c>
      <c r="E444" s="285">
        <f t="shared" si="89"/>
        <v>0</v>
      </c>
      <c r="F444" s="285">
        <f t="shared" si="89"/>
        <v>0</v>
      </c>
      <c r="G444" s="285">
        <f t="shared" si="89"/>
        <v>0</v>
      </c>
      <c r="H444" s="285">
        <f t="shared" si="89"/>
        <v>0</v>
      </c>
      <c r="I444" s="285">
        <f t="shared" si="89"/>
        <v>940</v>
      </c>
      <c r="J444" s="324">
        <f t="shared" si="80"/>
        <v>6714.29</v>
      </c>
      <c r="K444" s="300" t="s">
        <v>3551</v>
      </c>
      <c r="L444" s="301"/>
      <c r="M444" s="312" t="s">
        <v>596</v>
      </c>
      <c r="N444" s="312" t="s">
        <v>578</v>
      </c>
      <c r="O444" s="312" t="s">
        <v>596</v>
      </c>
      <c r="P444" s="313" t="s">
        <v>3820</v>
      </c>
    </row>
    <row r="445" s="106" customFormat="1" ht="20.1" customHeight="1" spans="1:16">
      <c r="A445" s="279" t="s">
        <v>2102</v>
      </c>
      <c r="B445" s="289" t="s">
        <v>2103</v>
      </c>
      <c r="C445" s="287">
        <v>14</v>
      </c>
      <c r="D445" s="288">
        <f t="shared" si="75"/>
        <v>940</v>
      </c>
      <c r="E445" s="287"/>
      <c r="F445" s="287"/>
      <c r="G445" s="287"/>
      <c r="H445" s="287"/>
      <c r="I445" s="302">
        <v>940</v>
      </c>
      <c r="J445" s="303">
        <f t="shared" si="80"/>
        <v>6714.29</v>
      </c>
      <c r="K445" s="294" t="s">
        <v>3555</v>
      </c>
      <c r="L445" s="44">
        <v>1</v>
      </c>
      <c r="M445" s="308" t="s">
        <v>2102</v>
      </c>
      <c r="N445" s="308"/>
      <c r="O445" s="308" t="s">
        <v>596</v>
      </c>
      <c r="P445" s="314" t="s">
        <v>3821</v>
      </c>
    </row>
    <row r="446" s="106" customFormat="1" ht="20.1" customHeight="1" spans="1:16">
      <c r="A446" s="279" t="s">
        <v>2104</v>
      </c>
      <c r="B446" s="289" t="s">
        <v>2105</v>
      </c>
      <c r="C446" s="287"/>
      <c r="D446" s="288">
        <f t="shared" si="75"/>
        <v>0</v>
      </c>
      <c r="E446" s="287"/>
      <c r="F446" s="287"/>
      <c r="G446" s="287"/>
      <c r="H446" s="287"/>
      <c r="I446" s="302"/>
      <c r="J446" s="303">
        <f t="shared" si="80"/>
        <v>0</v>
      </c>
      <c r="K446" s="294" t="s">
        <v>3555</v>
      </c>
      <c r="L446" s="44">
        <v>1</v>
      </c>
      <c r="M446" s="308" t="s">
        <v>2104</v>
      </c>
      <c r="N446" s="308"/>
      <c r="O446" s="308" t="s">
        <v>596</v>
      </c>
      <c r="P446" s="314" t="s">
        <v>3822</v>
      </c>
    </row>
    <row r="447" s="106" customFormat="1" ht="20.1" customHeight="1" spans="1:16">
      <c r="A447" s="279" t="s">
        <v>2106</v>
      </c>
      <c r="B447" s="289" t="s">
        <v>2107</v>
      </c>
      <c r="C447" s="287"/>
      <c r="D447" s="288">
        <f t="shared" si="75"/>
        <v>0</v>
      </c>
      <c r="E447" s="287"/>
      <c r="F447" s="287"/>
      <c r="G447" s="287"/>
      <c r="H447" s="287"/>
      <c r="I447" s="302"/>
      <c r="J447" s="303">
        <f t="shared" si="80"/>
        <v>0</v>
      </c>
      <c r="K447" s="294" t="s">
        <v>3555</v>
      </c>
      <c r="L447" s="44">
        <v>1</v>
      </c>
      <c r="M447" s="308" t="s">
        <v>2106</v>
      </c>
      <c r="N447" s="308"/>
      <c r="O447" s="308" t="s">
        <v>596</v>
      </c>
      <c r="P447" s="314" t="s">
        <v>3823</v>
      </c>
    </row>
    <row r="448" s="106" customFormat="1" ht="20.1" customHeight="1" spans="1:16">
      <c r="A448" s="279" t="s">
        <v>2108</v>
      </c>
      <c r="B448" s="41" t="s">
        <v>2109</v>
      </c>
      <c r="C448" s="287"/>
      <c r="D448" s="288">
        <f t="shared" si="75"/>
        <v>0</v>
      </c>
      <c r="E448" s="287"/>
      <c r="F448" s="287"/>
      <c r="G448" s="287"/>
      <c r="H448" s="287"/>
      <c r="I448" s="302"/>
      <c r="J448" s="303">
        <f t="shared" si="80"/>
        <v>0</v>
      </c>
      <c r="K448" s="294" t="s">
        <v>3555</v>
      </c>
      <c r="L448" s="44">
        <v>1</v>
      </c>
      <c r="M448" s="308" t="s">
        <v>2108</v>
      </c>
      <c r="N448" s="308"/>
      <c r="O448" s="308" t="s">
        <v>596</v>
      </c>
      <c r="P448" s="314" t="s">
        <v>3824</v>
      </c>
    </row>
    <row r="449" s="106" customFormat="1" ht="20.1" customHeight="1" spans="1:16">
      <c r="A449" s="279" t="s">
        <v>2110</v>
      </c>
      <c r="B449" s="286" t="s">
        <v>2111</v>
      </c>
      <c r="C449" s="287"/>
      <c r="D449" s="288">
        <f t="shared" si="75"/>
        <v>0</v>
      </c>
      <c r="E449" s="287"/>
      <c r="F449" s="287"/>
      <c r="G449" s="287"/>
      <c r="H449" s="287"/>
      <c r="I449" s="302"/>
      <c r="J449" s="303">
        <f t="shared" si="80"/>
        <v>0</v>
      </c>
      <c r="K449" s="294" t="s">
        <v>3555</v>
      </c>
      <c r="L449" s="44">
        <v>1</v>
      </c>
      <c r="M449" s="308" t="s">
        <v>2110</v>
      </c>
      <c r="N449" s="308"/>
      <c r="O449" s="308" t="s">
        <v>596</v>
      </c>
      <c r="P449" s="314" t="s">
        <v>3825</v>
      </c>
    </row>
    <row r="450" s="106" customFormat="1" ht="20.1" customHeight="1" spans="1:16">
      <c r="A450" s="279" t="s">
        <v>2112</v>
      </c>
      <c r="B450" s="286" t="s">
        <v>2113</v>
      </c>
      <c r="C450" s="287"/>
      <c r="D450" s="288">
        <f t="shared" si="75"/>
        <v>0</v>
      </c>
      <c r="E450" s="287"/>
      <c r="F450" s="287"/>
      <c r="G450" s="287"/>
      <c r="H450" s="287"/>
      <c r="I450" s="302"/>
      <c r="J450" s="303">
        <f t="shared" si="80"/>
        <v>0</v>
      </c>
      <c r="K450" s="294" t="s">
        <v>3555</v>
      </c>
      <c r="L450" s="44">
        <v>1</v>
      </c>
      <c r="M450" s="308" t="s">
        <v>2112</v>
      </c>
      <c r="N450" s="308"/>
      <c r="O450" s="308" t="s">
        <v>596</v>
      </c>
      <c r="P450" s="309" t="s">
        <v>3826</v>
      </c>
    </row>
    <row r="451" s="107" customFormat="1" ht="20.1" customHeight="1" spans="1:16">
      <c r="A451" s="283" t="s">
        <v>598</v>
      </c>
      <c r="B451" s="323" t="s">
        <v>2114</v>
      </c>
      <c r="C451" s="285">
        <f t="shared" ref="C451:I451" si="90">SUM(C452)</f>
        <v>0</v>
      </c>
      <c r="D451" s="285">
        <f t="shared" si="75"/>
        <v>0</v>
      </c>
      <c r="E451" s="285">
        <f t="shared" si="90"/>
        <v>0</v>
      </c>
      <c r="F451" s="285">
        <f t="shared" si="90"/>
        <v>0</v>
      </c>
      <c r="G451" s="285">
        <f t="shared" si="90"/>
        <v>0</v>
      </c>
      <c r="H451" s="285">
        <f t="shared" si="90"/>
        <v>0</v>
      </c>
      <c r="I451" s="285">
        <f t="shared" si="90"/>
        <v>0</v>
      </c>
      <c r="J451" s="324">
        <f t="shared" si="80"/>
        <v>0</v>
      </c>
      <c r="K451" s="300" t="s">
        <v>3551</v>
      </c>
      <c r="L451" s="301">
        <v>1</v>
      </c>
      <c r="M451" s="312" t="s">
        <v>598</v>
      </c>
      <c r="N451" s="312" t="s">
        <v>578</v>
      </c>
      <c r="O451" s="312" t="s">
        <v>598</v>
      </c>
      <c r="P451" s="313" t="s">
        <v>3827</v>
      </c>
    </row>
    <row r="452" s="106" customFormat="1" ht="20.1" customHeight="1" spans="1:16">
      <c r="A452" s="279" t="s">
        <v>2115</v>
      </c>
      <c r="B452" s="289" t="s">
        <v>2116</v>
      </c>
      <c r="C452" s="287"/>
      <c r="D452" s="287">
        <f t="shared" ref="D452:D503" si="91">SUM(E452:I452)</f>
        <v>0</v>
      </c>
      <c r="E452" s="287"/>
      <c r="F452" s="287"/>
      <c r="G452" s="287"/>
      <c r="H452" s="287"/>
      <c r="I452" s="287"/>
      <c r="J452" s="236"/>
      <c r="K452" s="294" t="s">
        <v>3555</v>
      </c>
      <c r="L452" s="44">
        <v>1</v>
      </c>
      <c r="M452" s="308" t="s">
        <v>2115</v>
      </c>
      <c r="N452" s="308"/>
      <c r="O452" s="308" t="s">
        <v>598</v>
      </c>
      <c r="P452" s="309" t="s">
        <v>3827</v>
      </c>
    </row>
    <row r="453" s="107" customFormat="1" ht="20.1" customHeight="1" spans="1:16">
      <c r="A453" s="280" t="s">
        <v>600</v>
      </c>
      <c r="B453" s="281" t="s">
        <v>601</v>
      </c>
      <c r="C453" s="282">
        <f t="shared" ref="C453:I453" si="92">C454+C459+C468+C474+C479+C484+C489+C496+C500+C504</f>
        <v>3399</v>
      </c>
      <c r="D453" s="282">
        <f t="shared" si="91"/>
        <v>2343</v>
      </c>
      <c r="E453" s="282">
        <f t="shared" si="92"/>
        <v>25</v>
      </c>
      <c r="F453" s="282">
        <f t="shared" si="92"/>
        <v>0</v>
      </c>
      <c r="G453" s="282">
        <f t="shared" si="92"/>
        <v>25</v>
      </c>
      <c r="H453" s="282">
        <f t="shared" si="92"/>
        <v>0</v>
      </c>
      <c r="I453" s="282">
        <f t="shared" si="92"/>
        <v>2293</v>
      </c>
      <c r="J453" s="296">
        <f t="shared" ref="J453:J465" si="93">ROUND(IF(C453=0,IF(D453=0,0,1),IF(D453=0,-1,D453/C453)),4)*100</f>
        <v>68.93</v>
      </c>
      <c r="K453" s="297" t="s">
        <v>3550</v>
      </c>
      <c r="L453" s="298"/>
      <c r="M453" s="310" t="s">
        <v>600</v>
      </c>
      <c r="N453" s="310" t="s">
        <v>600</v>
      </c>
      <c r="O453" s="310" t="s">
        <v>600</v>
      </c>
      <c r="P453" s="311" t="s">
        <v>3828</v>
      </c>
    </row>
    <row r="454" s="107" customFormat="1" ht="20.1" customHeight="1" spans="1:16">
      <c r="A454" s="283" t="s">
        <v>602</v>
      </c>
      <c r="B454" s="323" t="s">
        <v>2117</v>
      </c>
      <c r="C454" s="285">
        <f t="shared" ref="C454:I454" si="94">SUM(C455:C458)</f>
        <v>297</v>
      </c>
      <c r="D454" s="285">
        <f t="shared" si="91"/>
        <v>281</v>
      </c>
      <c r="E454" s="285">
        <f t="shared" si="94"/>
        <v>0</v>
      </c>
      <c r="F454" s="285">
        <f t="shared" si="94"/>
        <v>0</v>
      </c>
      <c r="G454" s="285">
        <f t="shared" si="94"/>
        <v>0</v>
      </c>
      <c r="H454" s="285">
        <f t="shared" si="94"/>
        <v>0</v>
      </c>
      <c r="I454" s="285">
        <f t="shared" si="94"/>
        <v>281</v>
      </c>
      <c r="J454" s="324">
        <f t="shared" si="93"/>
        <v>94.61</v>
      </c>
      <c r="K454" s="300" t="s">
        <v>3551</v>
      </c>
      <c r="L454" s="301"/>
      <c r="M454" s="312" t="s">
        <v>602</v>
      </c>
      <c r="N454" s="312" t="s">
        <v>600</v>
      </c>
      <c r="O454" s="312" t="s">
        <v>602</v>
      </c>
      <c r="P454" s="313" t="s">
        <v>3829</v>
      </c>
    </row>
    <row r="455" s="106" customFormat="1" ht="20.1" customHeight="1" spans="1:16">
      <c r="A455" s="279" t="s">
        <v>2118</v>
      </c>
      <c r="B455" s="286" t="s">
        <v>1458</v>
      </c>
      <c r="C455" s="287">
        <v>293</v>
      </c>
      <c r="D455" s="288">
        <f t="shared" si="91"/>
        <v>277</v>
      </c>
      <c r="E455" s="287"/>
      <c r="F455" s="287"/>
      <c r="G455" s="287"/>
      <c r="H455" s="287"/>
      <c r="I455" s="302">
        <v>277</v>
      </c>
      <c r="J455" s="303">
        <f t="shared" si="93"/>
        <v>94.54</v>
      </c>
      <c r="K455" s="294" t="s">
        <v>3555</v>
      </c>
      <c r="L455" s="44">
        <v>1</v>
      </c>
      <c r="M455" s="308" t="s">
        <v>2118</v>
      </c>
      <c r="N455" s="308"/>
      <c r="O455" s="308" t="s">
        <v>602</v>
      </c>
      <c r="P455" s="314" t="s">
        <v>3556</v>
      </c>
    </row>
    <row r="456" s="106" customFormat="1" ht="20.1" customHeight="1" spans="1:16">
      <c r="A456" s="279" t="s">
        <v>2119</v>
      </c>
      <c r="B456" s="286" t="s">
        <v>1460</v>
      </c>
      <c r="C456" s="287">
        <v>4</v>
      </c>
      <c r="D456" s="288">
        <f t="shared" si="91"/>
        <v>4</v>
      </c>
      <c r="E456" s="287"/>
      <c r="F456" s="287"/>
      <c r="G456" s="287"/>
      <c r="H456" s="287"/>
      <c r="I456" s="302">
        <v>4</v>
      </c>
      <c r="J456" s="303">
        <f t="shared" si="93"/>
        <v>100</v>
      </c>
      <c r="K456" s="294" t="s">
        <v>3555</v>
      </c>
      <c r="L456" s="44">
        <v>1</v>
      </c>
      <c r="M456" s="308" t="s">
        <v>2119</v>
      </c>
      <c r="N456" s="308"/>
      <c r="O456" s="308" t="s">
        <v>602</v>
      </c>
      <c r="P456" s="314" t="s">
        <v>3557</v>
      </c>
    </row>
    <row r="457" s="106" customFormat="1" ht="20.1" customHeight="1" spans="1:16">
      <c r="A457" s="279" t="s">
        <v>2120</v>
      </c>
      <c r="B457" s="286" t="s">
        <v>1462</v>
      </c>
      <c r="C457" s="287"/>
      <c r="D457" s="288">
        <f t="shared" si="91"/>
        <v>0</v>
      </c>
      <c r="E457" s="287"/>
      <c r="F457" s="287"/>
      <c r="G457" s="287"/>
      <c r="H457" s="287"/>
      <c r="I457" s="302"/>
      <c r="J457" s="303">
        <f t="shared" si="93"/>
        <v>0</v>
      </c>
      <c r="K457" s="294" t="s">
        <v>3555</v>
      </c>
      <c r="L457" s="44">
        <v>1</v>
      </c>
      <c r="M457" s="308" t="s">
        <v>2120</v>
      </c>
      <c r="N457" s="308"/>
      <c r="O457" s="308" t="s">
        <v>602</v>
      </c>
      <c r="P457" s="314" t="s">
        <v>3558</v>
      </c>
    </row>
    <row r="458" s="106" customFormat="1" ht="20.1" customHeight="1" spans="1:16">
      <c r="A458" s="279" t="s">
        <v>2121</v>
      </c>
      <c r="B458" s="289" t="s">
        <v>2122</v>
      </c>
      <c r="C458" s="287"/>
      <c r="D458" s="288">
        <f t="shared" si="91"/>
        <v>0</v>
      </c>
      <c r="E458" s="287"/>
      <c r="F458" s="287"/>
      <c r="G458" s="287"/>
      <c r="H458" s="287"/>
      <c r="I458" s="302"/>
      <c r="J458" s="303">
        <f t="shared" si="93"/>
        <v>0</v>
      </c>
      <c r="K458" s="294" t="s">
        <v>3555</v>
      </c>
      <c r="L458" s="44">
        <v>1</v>
      </c>
      <c r="M458" s="308" t="s">
        <v>2121</v>
      </c>
      <c r="N458" s="308"/>
      <c r="O458" s="308" t="s">
        <v>602</v>
      </c>
      <c r="P458" s="309" t="s">
        <v>3830</v>
      </c>
    </row>
    <row r="459" s="107" customFormat="1" ht="20.1" customHeight="1" spans="1:16">
      <c r="A459" s="283" t="s">
        <v>604</v>
      </c>
      <c r="B459" s="323" t="s">
        <v>2123</v>
      </c>
      <c r="C459" s="285">
        <f t="shared" ref="C459:I459" si="95">SUM(C460:C467)</f>
        <v>194</v>
      </c>
      <c r="D459" s="285">
        <f t="shared" si="91"/>
        <v>241</v>
      </c>
      <c r="E459" s="285">
        <f t="shared" si="95"/>
        <v>0</v>
      </c>
      <c r="F459" s="285">
        <f t="shared" si="95"/>
        <v>0</v>
      </c>
      <c r="G459" s="285">
        <f t="shared" si="95"/>
        <v>0</v>
      </c>
      <c r="H459" s="285">
        <f t="shared" si="95"/>
        <v>0</v>
      </c>
      <c r="I459" s="285">
        <f t="shared" si="95"/>
        <v>241</v>
      </c>
      <c r="J459" s="324">
        <f t="shared" si="93"/>
        <v>124.23</v>
      </c>
      <c r="K459" s="300" t="s">
        <v>3551</v>
      </c>
      <c r="L459" s="301"/>
      <c r="M459" s="312" t="s">
        <v>604</v>
      </c>
      <c r="N459" s="312" t="s">
        <v>600</v>
      </c>
      <c r="O459" s="312" t="s">
        <v>604</v>
      </c>
      <c r="P459" s="313" t="s">
        <v>3831</v>
      </c>
    </row>
    <row r="460" s="106" customFormat="1" ht="20.1" customHeight="1" spans="1:16">
      <c r="A460" s="279" t="s">
        <v>2124</v>
      </c>
      <c r="B460" s="286" t="s">
        <v>2125</v>
      </c>
      <c r="C460" s="287">
        <v>194</v>
      </c>
      <c r="D460" s="288">
        <f t="shared" si="91"/>
        <v>241</v>
      </c>
      <c r="E460" s="287"/>
      <c r="F460" s="287"/>
      <c r="G460" s="287"/>
      <c r="H460" s="287"/>
      <c r="I460" s="302">
        <v>241</v>
      </c>
      <c r="J460" s="303">
        <f t="shared" si="93"/>
        <v>124.23</v>
      </c>
      <c r="K460" s="294" t="s">
        <v>3555</v>
      </c>
      <c r="L460" s="44">
        <v>1</v>
      </c>
      <c r="M460" s="308" t="s">
        <v>2124</v>
      </c>
      <c r="N460" s="308"/>
      <c r="O460" s="308" t="s">
        <v>604</v>
      </c>
      <c r="P460" s="314" t="s">
        <v>3832</v>
      </c>
    </row>
    <row r="461" s="106" customFormat="1" ht="20.1" customHeight="1" spans="1:16">
      <c r="A461" s="279" t="s">
        <v>2126</v>
      </c>
      <c r="B461" s="41" t="s">
        <v>2127</v>
      </c>
      <c r="C461" s="287"/>
      <c r="D461" s="288">
        <f t="shared" si="91"/>
        <v>0</v>
      </c>
      <c r="E461" s="287"/>
      <c r="F461" s="287"/>
      <c r="G461" s="287"/>
      <c r="H461" s="287"/>
      <c r="I461" s="302"/>
      <c r="J461" s="303">
        <f t="shared" si="93"/>
        <v>0</v>
      </c>
      <c r="K461" s="294" t="s">
        <v>3555</v>
      </c>
      <c r="L461" s="44">
        <v>1</v>
      </c>
      <c r="M461" s="308" t="s">
        <v>2126</v>
      </c>
      <c r="N461" s="308"/>
      <c r="O461" s="308" t="s">
        <v>604</v>
      </c>
      <c r="P461" s="309" t="s">
        <v>3833</v>
      </c>
    </row>
    <row r="462" s="106" customFormat="1" ht="20.1" customHeight="1" spans="1:16">
      <c r="A462" s="279" t="s">
        <v>2128</v>
      </c>
      <c r="B462" s="286" t="s">
        <v>2129</v>
      </c>
      <c r="C462" s="287"/>
      <c r="D462" s="288">
        <f t="shared" si="91"/>
        <v>0</v>
      </c>
      <c r="E462" s="287"/>
      <c r="F462" s="287"/>
      <c r="G462" s="287"/>
      <c r="H462" s="287"/>
      <c r="I462" s="302"/>
      <c r="J462" s="303">
        <f t="shared" si="93"/>
        <v>0</v>
      </c>
      <c r="K462" s="294" t="s">
        <v>3555</v>
      </c>
      <c r="L462" s="44">
        <v>1</v>
      </c>
      <c r="M462" s="308" t="s">
        <v>2128</v>
      </c>
      <c r="N462" s="308"/>
      <c r="O462" s="308" t="s">
        <v>604</v>
      </c>
      <c r="P462" s="309" t="s">
        <v>3834</v>
      </c>
    </row>
    <row r="463" s="106" customFormat="1" ht="20.1" customHeight="1" spans="1:16">
      <c r="A463" s="279" t="s">
        <v>2130</v>
      </c>
      <c r="B463" s="286" t="s">
        <v>2131</v>
      </c>
      <c r="C463" s="287"/>
      <c r="D463" s="288">
        <f t="shared" si="91"/>
        <v>0</v>
      </c>
      <c r="E463" s="287"/>
      <c r="F463" s="287"/>
      <c r="G463" s="287"/>
      <c r="H463" s="287"/>
      <c r="I463" s="302"/>
      <c r="J463" s="303">
        <f t="shared" si="93"/>
        <v>0</v>
      </c>
      <c r="K463" s="294" t="s">
        <v>3555</v>
      </c>
      <c r="L463" s="44">
        <v>1</v>
      </c>
      <c r="M463" s="308" t="s">
        <v>2130</v>
      </c>
      <c r="N463" s="308"/>
      <c r="O463" s="308" t="s">
        <v>604</v>
      </c>
      <c r="P463" s="309" t="s">
        <v>3835</v>
      </c>
    </row>
    <row r="464" s="106" customFormat="1" ht="20.1" customHeight="1" spans="1:16">
      <c r="A464" s="279" t="s">
        <v>2132</v>
      </c>
      <c r="B464" s="286" t="s">
        <v>2133</v>
      </c>
      <c r="C464" s="287"/>
      <c r="D464" s="288">
        <f t="shared" si="91"/>
        <v>0</v>
      </c>
      <c r="E464" s="287"/>
      <c r="F464" s="287"/>
      <c r="G464" s="287"/>
      <c r="H464" s="287"/>
      <c r="I464" s="302"/>
      <c r="J464" s="303">
        <f t="shared" si="93"/>
        <v>0</v>
      </c>
      <c r="K464" s="294" t="s">
        <v>3555</v>
      </c>
      <c r="L464" s="44">
        <v>1</v>
      </c>
      <c r="M464" s="308" t="s">
        <v>2132</v>
      </c>
      <c r="N464" s="308"/>
      <c r="O464" s="308" t="s">
        <v>604</v>
      </c>
      <c r="P464" s="309" t="s">
        <v>3836</v>
      </c>
    </row>
    <row r="465" s="106" customFormat="1" ht="20.1" customHeight="1" spans="1:16">
      <c r="A465" s="279" t="s">
        <v>2134</v>
      </c>
      <c r="B465" s="289" t="s">
        <v>2135</v>
      </c>
      <c r="C465" s="287"/>
      <c r="D465" s="288">
        <f t="shared" si="91"/>
        <v>0</v>
      </c>
      <c r="E465" s="287"/>
      <c r="F465" s="287"/>
      <c r="G465" s="287"/>
      <c r="H465" s="287"/>
      <c r="I465" s="302"/>
      <c r="J465" s="303">
        <f t="shared" si="93"/>
        <v>0</v>
      </c>
      <c r="K465" s="294" t="s">
        <v>3555</v>
      </c>
      <c r="L465" s="44">
        <v>1</v>
      </c>
      <c r="M465" s="308" t="s">
        <v>2134</v>
      </c>
      <c r="N465" s="308"/>
      <c r="O465" s="308" t="s">
        <v>604</v>
      </c>
      <c r="P465" s="309" t="s">
        <v>3837</v>
      </c>
    </row>
    <row r="466" s="106" customFormat="1" ht="20.1" customHeight="1" spans="1:16">
      <c r="A466" s="279" t="s">
        <v>2136</v>
      </c>
      <c r="B466" s="289" t="s">
        <v>2137</v>
      </c>
      <c r="C466" s="287"/>
      <c r="D466" s="288">
        <f t="shared" si="91"/>
        <v>0</v>
      </c>
      <c r="E466" s="287"/>
      <c r="F466" s="287"/>
      <c r="G466" s="287"/>
      <c r="H466" s="287"/>
      <c r="I466" s="302"/>
      <c r="J466" s="303"/>
      <c r="K466" s="294" t="s">
        <v>3555</v>
      </c>
      <c r="L466" s="44">
        <v>1</v>
      </c>
      <c r="M466" s="308" t="s">
        <v>2136</v>
      </c>
      <c r="N466" s="308"/>
      <c r="O466" s="308" t="s">
        <v>604</v>
      </c>
      <c r="P466" s="309" t="s">
        <v>3838</v>
      </c>
    </row>
    <row r="467" s="106" customFormat="1" ht="20.1" customHeight="1" spans="1:16">
      <c r="A467" s="279" t="s">
        <v>2138</v>
      </c>
      <c r="B467" s="289" t="s">
        <v>2139</v>
      </c>
      <c r="C467" s="287"/>
      <c r="D467" s="288">
        <f t="shared" si="91"/>
        <v>0</v>
      </c>
      <c r="E467" s="287"/>
      <c r="F467" s="287"/>
      <c r="G467" s="287"/>
      <c r="H467" s="287"/>
      <c r="I467" s="302"/>
      <c r="J467" s="303">
        <f t="shared" ref="J467:J476" si="96">ROUND(IF(C467=0,IF(D467=0,0,1),IF(D467=0,-1,D467/C467)),4)*100</f>
        <v>0</v>
      </c>
      <c r="K467" s="294" t="s">
        <v>3555</v>
      </c>
      <c r="L467" s="44">
        <v>1</v>
      </c>
      <c r="M467" s="308" t="s">
        <v>2138</v>
      </c>
      <c r="N467" s="308"/>
      <c r="O467" s="308" t="s">
        <v>604</v>
      </c>
      <c r="P467" s="309" t="s">
        <v>3839</v>
      </c>
    </row>
    <row r="468" s="107" customFormat="1" ht="20.1" customHeight="1" spans="1:16">
      <c r="A468" s="283" t="s">
        <v>606</v>
      </c>
      <c r="B468" s="323" t="s">
        <v>2140</v>
      </c>
      <c r="C468" s="285">
        <f t="shared" ref="C468:F468" si="97">SUM(C469:C473)</f>
        <v>0</v>
      </c>
      <c r="D468" s="285">
        <f t="shared" si="91"/>
        <v>0</v>
      </c>
      <c r="E468" s="285">
        <f t="shared" si="97"/>
        <v>0</v>
      </c>
      <c r="F468" s="285">
        <f t="shared" si="97"/>
        <v>0</v>
      </c>
      <c r="G468" s="285">
        <f>VLOOKUP(A468,[1]√表四、2025年公共财政支出变动表!$A$8:$S$221,18,FALSE)</f>
        <v>0</v>
      </c>
      <c r="H468" s="285">
        <f>SUM(H469:H473)</f>
        <v>0</v>
      </c>
      <c r="I468" s="285"/>
      <c r="J468" s="324">
        <f t="shared" si="96"/>
        <v>0</v>
      </c>
      <c r="K468" s="300" t="s">
        <v>3551</v>
      </c>
      <c r="L468" s="301"/>
      <c r="M468" s="312" t="s">
        <v>606</v>
      </c>
      <c r="N468" s="312" t="s">
        <v>600</v>
      </c>
      <c r="O468" s="312" t="s">
        <v>606</v>
      </c>
      <c r="P468" s="313" t="s">
        <v>3840</v>
      </c>
    </row>
    <row r="469" s="106" customFormat="1" ht="20.1" customHeight="1" spans="1:16">
      <c r="A469" s="279" t="s">
        <v>2141</v>
      </c>
      <c r="B469" s="286" t="s">
        <v>2125</v>
      </c>
      <c r="C469" s="287">
        <v>0</v>
      </c>
      <c r="D469" s="288">
        <f t="shared" si="91"/>
        <v>0</v>
      </c>
      <c r="E469" s="287"/>
      <c r="F469" s="287"/>
      <c r="G469" s="287"/>
      <c r="H469" s="287"/>
      <c r="I469" s="302"/>
      <c r="J469" s="303">
        <f t="shared" si="96"/>
        <v>0</v>
      </c>
      <c r="K469" s="294" t="s">
        <v>3555</v>
      </c>
      <c r="L469" s="44">
        <v>1</v>
      </c>
      <c r="M469" s="308" t="s">
        <v>2141</v>
      </c>
      <c r="N469" s="308"/>
      <c r="O469" s="308" t="s">
        <v>606</v>
      </c>
      <c r="P469" s="314" t="s">
        <v>3832</v>
      </c>
    </row>
    <row r="470" s="106" customFormat="1" ht="20.1" customHeight="1" spans="1:16">
      <c r="A470" s="279" t="s">
        <v>2142</v>
      </c>
      <c r="B470" s="286" t="s">
        <v>2143</v>
      </c>
      <c r="C470" s="287"/>
      <c r="D470" s="288">
        <f t="shared" si="91"/>
        <v>0</v>
      </c>
      <c r="E470" s="287"/>
      <c r="F470" s="287"/>
      <c r="G470" s="287"/>
      <c r="H470" s="287"/>
      <c r="I470" s="302"/>
      <c r="J470" s="303">
        <f t="shared" si="96"/>
        <v>0</v>
      </c>
      <c r="K470" s="294" t="s">
        <v>3555</v>
      </c>
      <c r="L470" s="44">
        <v>1</v>
      </c>
      <c r="M470" s="308" t="s">
        <v>2142</v>
      </c>
      <c r="N470" s="308"/>
      <c r="O470" s="308" t="s">
        <v>606</v>
      </c>
      <c r="P470" s="309" t="s">
        <v>3841</v>
      </c>
    </row>
    <row r="471" s="106" customFormat="1" ht="20.1" customHeight="1" spans="1:16">
      <c r="A471" s="279" t="s">
        <v>2144</v>
      </c>
      <c r="B471" s="286" t="s">
        <v>2145</v>
      </c>
      <c r="C471" s="287">
        <v>0</v>
      </c>
      <c r="D471" s="288">
        <f t="shared" si="91"/>
        <v>0</v>
      </c>
      <c r="E471" s="287"/>
      <c r="F471" s="287"/>
      <c r="G471" s="287"/>
      <c r="H471" s="287"/>
      <c r="I471" s="302"/>
      <c r="J471" s="303">
        <f t="shared" si="96"/>
        <v>0</v>
      </c>
      <c r="K471" s="294" t="s">
        <v>3555</v>
      </c>
      <c r="L471" s="44">
        <v>1</v>
      </c>
      <c r="M471" s="308" t="s">
        <v>2144</v>
      </c>
      <c r="N471" s="308"/>
      <c r="O471" s="308" t="s">
        <v>606</v>
      </c>
      <c r="P471" s="309" t="s">
        <v>3842</v>
      </c>
    </row>
    <row r="472" s="106" customFormat="1" ht="20.1" customHeight="1" spans="1:16">
      <c r="A472" s="279" t="s">
        <v>2146</v>
      </c>
      <c r="B472" s="289" t="s">
        <v>2147</v>
      </c>
      <c r="C472" s="287">
        <v>0</v>
      </c>
      <c r="D472" s="288">
        <f t="shared" si="91"/>
        <v>0</v>
      </c>
      <c r="E472" s="287"/>
      <c r="F472" s="287"/>
      <c r="G472" s="287"/>
      <c r="H472" s="287"/>
      <c r="I472" s="302"/>
      <c r="J472" s="303">
        <f t="shared" si="96"/>
        <v>0</v>
      </c>
      <c r="K472" s="294" t="s">
        <v>3555</v>
      </c>
      <c r="L472" s="44">
        <v>1</v>
      </c>
      <c r="M472" s="308" t="s">
        <v>2146</v>
      </c>
      <c r="N472" s="308"/>
      <c r="O472" s="308" t="s">
        <v>606</v>
      </c>
      <c r="P472" s="309" t="s">
        <v>3843</v>
      </c>
    </row>
    <row r="473" s="106" customFormat="1" ht="20.1" customHeight="1" spans="1:16">
      <c r="A473" s="279" t="s">
        <v>2148</v>
      </c>
      <c r="B473" s="289" t="s">
        <v>2149</v>
      </c>
      <c r="C473" s="287">
        <v>0</v>
      </c>
      <c r="D473" s="288">
        <f t="shared" si="91"/>
        <v>0</v>
      </c>
      <c r="E473" s="287"/>
      <c r="F473" s="287"/>
      <c r="G473" s="287"/>
      <c r="H473" s="287"/>
      <c r="I473" s="302"/>
      <c r="J473" s="303">
        <f t="shared" si="96"/>
        <v>0</v>
      </c>
      <c r="K473" s="294" t="s">
        <v>3555</v>
      </c>
      <c r="L473" s="44">
        <v>1</v>
      </c>
      <c r="M473" s="308" t="s">
        <v>2148</v>
      </c>
      <c r="N473" s="308"/>
      <c r="O473" s="308" t="s">
        <v>606</v>
      </c>
      <c r="P473" s="309" t="s">
        <v>3844</v>
      </c>
    </row>
    <row r="474" s="107" customFormat="1" ht="20.1" customHeight="1" spans="1:16">
      <c r="A474" s="283" t="s">
        <v>608</v>
      </c>
      <c r="B474" s="323" t="s">
        <v>2150</v>
      </c>
      <c r="C474" s="285">
        <f t="shared" ref="C474:I474" si="98">SUM(C475:C478)</f>
        <v>1233</v>
      </c>
      <c r="D474" s="285">
        <f t="shared" si="91"/>
        <v>1692</v>
      </c>
      <c r="E474" s="285">
        <f t="shared" si="98"/>
        <v>0</v>
      </c>
      <c r="F474" s="285">
        <f t="shared" si="98"/>
        <v>0</v>
      </c>
      <c r="G474" s="285">
        <f t="shared" si="98"/>
        <v>0</v>
      </c>
      <c r="H474" s="285">
        <f t="shared" si="98"/>
        <v>0</v>
      </c>
      <c r="I474" s="285">
        <f t="shared" si="98"/>
        <v>1692</v>
      </c>
      <c r="J474" s="324">
        <f t="shared" si="96"/>
        <v>137.23</v>
      </c>
      <c r="K474" s="300" t="s">
        <v>3551</v>
      </c>
      <c r="L474" s="301"/>
      <c r="M474" s="312" t="s">
        <v>608</v>
      </c>
      <c r="N474" s="312" t="s">
        <v>600</v>
      </c>
      <c r="O474" s="312" t="s">
        <v>608</v>
      </c>
      <c r="P474" s="313" t="s">
        <v>3845</v>
      </c>
    </row>
    <row r="475" s="106" customFormat="1" ht="20.1" customHeight="1" spans="1:16">
      <c r="A475" s="279" t="s">
        <v>2151</v>
      </c>
      <c r="B475" s="41" t="s">
        <v>2125</v>
      </c>
      <c r="C475" s="287"/>
      <c r="D475" s="288">
        <f t="shared" si="91"/>
        <v>0</v>
      </c>
      <c r="E475" s="287"/>
      <c r="F475" s="287"/>
      <c r="G475" s="287"/>
      <c r="H475" s="287"/>
      <c r="I475" s="302"/>
      <c r="J475" s="303">
        <f t="shared" si="96"/>
        <v>0</v>
      </c>
      <c r="K475" s="294" t="s">
        <v>3555</v>
      </c>
      <c r="L475" s="44">
        <v>1</v>
      </c>
      <c r="M475" s="308" t="s">
        <v>2151</v>
      </c>
      <c r="N475" s="308"/>
      <c r="O475" s="308" t="s">
        <v>608</v>
      </c>
      <c r="P475" s="314" t="s">
        <v>3832</v>
      </c>
    </row>
    <row r="476" s="106" customFormat="1" ht="20.1" customHeight="1" spans="1:16">
      <c r="A476" s="279" t="s">
        <v>2152</v>
      </c>
      <c r="B476" s="286" t="s">
        <v>2153</v>
      </c>
      <c r="C476" s="287"/>
      <c r="D476" s="288">
        <f t="shared" si="91"/>
        <v>0</v>
      </c>
      <c r="E476" s="287"/>
      <c r="F476" s="287"/>
      <c r="G476" s="287"/>
      <c r="H476" s="287"/>
      <c r="I476" s="302"/>
      <c r="J476" s="303">
        <f t="shared" si="96"/>
        <v>0</v>
      </c>
      <c r="K476" s="294" t="s">
        <v>3555</v>
      </c>
      <c r="L476" s="44">
        <v>1</v>
      </c>
      <c r="M476" s="308" t="s">
        <v>2152</v>
      </c>
      <c r="N476" s="308"/>
      <c r="O476" s="308" t="s">
        <v>608</v>
      </c>
      <c r="P476" s="309" t="s">
        <v>3846</v>
      </c>
    </row>
    <row r="477" s="106" customFormat="1" ht="20.1" customHeight="1" spans="1:16">
      <c r="A477" s="279" t="s">
        <v>2154</v>
      </c>
      <c r="B477" s="286" t="s">
        <v>2155</v>
      </c>
      <c r="C477" s="287"/>
      <c r="D477" s="288">
        <f t="shared" si="91"/>
        <v>0</v>
      </c>
      <c r="E477" s="287"/>
      <c r="F477" s="287"/>
      <c r="G477" s="287"/>
      <c r="H477" s="287"/>
      <c r="I477" s="302"/>
      <c r="J477" s="303"/>
      <c r="K477" s="294" t="s">
        <v>3555</v>
      </c>
      <c r="L477" s="44">
        <v>1</v>
      </c>
      <c r="M477" s="308" t="s">
        <v>2154</v>
      </c>
      <c r="N477" s="308"/>
      <c r="O477" s="308" t="s">
        <v>608</v>
      </c>
      <c r="P477" s="309" t="s">
        <v>3847</v>
      </c>
    </row>
    <row r="478" s="106" customFormat="1" ht="20.1" customHeight="1" spans="1:16">
      <c r="A478" s="279" t="s">
        <v>2156</v>
      </c>
      <c r="B478" s="289" t="s">
        <v>2157</v>
      </c>
      <c r="C478" s="287">
        <v>1233</v>
      </c>
      <c r="D478" s="288">
        <f t="shared" si="91"/>
        <v>1692</v>
      </c>
      <c r="E478" s="287"/>
      <c r="F478" s="287"/>
      <c r="G478" s="287"/>
      <c r="H478" s="287"/>
      <c r="I478" s="302">
        <v>1692</v>
      </c>
      <c r="J478" s="303">
        <f t="shared" ref="J478:J541" si="99">ROUND(IF(C478=0,IF(D478=0,0,1),IF(D478=0,-1,D478/C478)),4)*100</f>
        <v>137.23</v>
      </c>
      <c r="K478" s="294" t="s">
        <v>3555</v>
      </c>
      <c r="L478" s="44">
        <v>1</v>
      </c>
      <c r="M478" s="308" t="s">
        <v>2156</v>
      </c>
      <c r="N478" s="308"/>
      <c r="O478" s="308" t="s">
        <v>608</v>
      </c>
      <c r="P478" s="309" t="s">
        <v>3848</v>
      </c>
    </row>
    <row r="479" s="107" customFormat="1" ht="20.1" customHeight="1" spans="1:16">
      <c r="A479" s="283" t="s">
        <v>610</v>
      </c>
      <c r="B479" s="323" t="s">
        <v>2158</v>
      </c>
      <c r="C479" s="285">
        <v>0</v>
      </c>
      <c r="D479" s="285">
        <f t="shared" si="91"/>
        <v>0</v>
      </c>
      <c r="E479" s="285">
        <f t="shared" ref="E479:H479" si="100">SUM(E480:E483)</f>
        <v>0</v>
      </c>
      <c r="F479" s="285">
        <f t="shared" si="100"/>
        <v>0</v>
      </c>
      <c r="G479" s="285">
        <f>VLOOKUP(A479,[1]√表四、2025年公共财政支出变动表!$A$8:$S$221,18,FALSE)</f>
        <v>0</v>
      </c>
      <c r="H479" s="285">
        <f t="shared" si="100"/>
        <v>0</v>
      </c>
      <c r="I479" s="285"/>
      <c r="J479" s="324">
        <f t="shared" si="99"/>
        <v>0</v>
      </c>
      <c r="K479" s="300" t="s">
        <v>3551</v>
      </c>
      <c r="L479" s="301"/>
      <c r="M479" s="312" t="s">
        <v>610</v>
      </c>
      <c r="N479" s="312" t="s">
        <v>600</v>
      </c>
      <c r="O479" s="312" t="s">
        <v>610</v>
      </c>
      <c r="P479" s="313" t="s">
        <v>3849</v>
      </c>
    </row>
    <row r="480" s="106" customFormat="1" ht="20.1" customHeight="1" spans="1:16">
      <c r="A480" s="279" t="s">
        <v>2159</v>
      </c>
      <c r="B480" s="289" t="s">
        <v>2125</v>
      </c>
      <c r="C480" s="287">
        <v>0</v>
      </c>
      <c r="D480" s="288">
        <f t="shared" si="91"/>
        <v>0</v>
      </c>
      <c r="E480" s="287"/>
      <c r="F480" s="287"/>
      <c r="G480" s="287"/>
      <c r="H480" s="287"/>
      <c r="I480" s="302"/>
      <c r="J480" s="303">
        <f t="shared" si="99"/>
        <v>0</v>
      </c>
      <c r="K480" s="294" t="s">
        <v>3555</v>
      </c>
      <c r="L480" s="44">
        <v>1</v>
      </c>
      <c r="M480" s="308" t="s">
        <v>2159</v>
      </c>
      <c r="N480" s="308"/>
      <c r="O480" s="308" t="s">
        <v>610</v>
      </c>
      <c r="P480" s="314" t="s">
        <v>3832</v>
      </c>
    </row>
    <row r="481" s="106" customFormat="1" ht="20.1" customHeight="1" spans="1:16">
      <c r="A481" s="279" t="s">
        <v>2160</v>
      </c>
      <c r="B481" s="286" t="s">
        <v>2161</v>
      </c>
      <c r="C481" s="287">
        <v>0</v>
      </c>
      <c r="D481" s="288">
        <f t="shared" si="91"/>
        <v>0</v>
      </c>
      <c r="E481" s="287"/>
      <c r="F481" s="287"/>
      <c r="G481" s="287"/>
      <c r="H481" s="287"/>
      <c r="I481" s="302"/>
      <c r="J481" s="303">
        <f t="shared" si="99"/>
        <v>0</v>
      </c>
      <c r="K481" s="294" t="s">
        <v>3555</v>
      </c>
      <c r="L481" s="44">
        <v>1</v>
      </c>
      <c r="M481" s="308" t="s">
        <v>2160</v>
      </c>
      <c r="N481" s="308"/>
      <c r="O481" s="308" t="s">
        <v>610</v>
      </c>
      <c r="P481" s="309" t="s">
        <v>3850</v>
      </c>
    </row>
    <row r="482" s="106" customFormat="1" ht="20.1" customHeight="1" spans="1:16">
      <c r="A482" s="279" t="s">
        <v>2162</v>
      </c>
      <c r="B482" s="286" t="s">
        <v>2163</v>
      </c>
      <c r="C482" s="287">
        <v>0</v>
      </c>
      <c r="D482" s="288">
        <f t="shared" si="91"/>
        <v>0</v>
      </c>
      <c r="E482" s="287"/>
      <c r="F482" s="287"/>
      <c r="G482" s="287"/>
      <c r="H482" s="287"/>
      <c r="I482" s="302"/>
      <c r="J482" s="303">
        <f t="shared" si="99"/>
        <v>0</v>
      </c>
      <c r="K482" s="294" t="s">
        <v>3555</v>
      </c>
      <c r="L482" s="44">
        <v>1</v>
      </c>
      <c r="M482" s="308" t="s">
        <v>2162</v>
      </c>
      <c r="N482" s="308"/>
      <c r="O482" s="308" t="s">
        <v>610</v>
      </c>
      <c r="P482" s="309" t="s">
        <v>3851</v>
      </c>
    </row>
    <row r="483" s="106" customFormat="1" ht="20.1" customHeight="1" spans="1:16">
      <c r="A483" s="279" t="s">
        <v>2164</v>
      </c>
      <c r="B483" s="286" t="s">
        <v>2165</v>
      </c>
      <c r="C483" s="287">
        <v>0</v>
      </c>
      <c r="D483" s="288">
        <f t="shared" si="91"/>
        <v>0</v>
      </c>
      <c r="E483" s="287"/>
      <c r="F483" s="287"/>
      <c r="G483" s="287"/>
      <c r="H483" s="287"/>
      <c r="I483" s="302"/>
      <c r="J483" s="303">
        <f t="shared" si="99"/>
        <v>0</v>
      </c>
      <c r="K483" s="294" t="s">
        <v>3555</v>
      </c>
      <c r="L483" s="44">
        <v>1</v>
      </c>
      <c r="M483" s="308" t="s">
        <v>2164</v>
      </c>
      <c r="N483" s="308"/>
      <c r="O483" s="308" t="s">
        <v>610</v>
      </c>
      <c r="P483" s="309" t="s">
        <v>3852</v>
      </c>
    </row>
    <row r="484" s="107" customFormat="1" ht="20.1" customHeight="1" spans="1:16">
      <c r="A484" s="283" t="s">
        <v>612</v>
      </c>
      <c r="B484" s="323" t="s">
        <v>2166</v>
      </c>
      <c r="C484" s="285">
        <f t="shared" ref="C484:F484" si="101">SUM(C485:C488)</f>
        <v>0</v>
      </c>
      <c r="D484" s="285">
        <f t="shared" si="91"/>
        <v>0</v>
      </c>
      <c r="E484" s="285">
        <f t="shared" si="101"/>
        <v>0</v>
      </c>
      <c r="F484" s="285">
        <f t="shared" si="101"/>
        <v>0</v>
      </c>
      <c r="G484" s="285">
        <f>VLOOKUP(A484,[1]√表四、2025年公共财政支出变动表!$A$8:$S$221,18,FALSE)</f>
        <v>0</v>
      </c>
      <c r="H484" s="285">
        <f>SUM(H485:H488)</f>
        <v>0</v>
      </c>
      <c r="I484" s="285"/>
      <c r="J484" s="324">
        <f t="shared" si="99"/>
        <v>0</v>
      </c>
      <c r="K484" s="300" t="s">
        <v>3551</v>
      </c>
      <c r="L484" s="301"/>
      <c r="M484" s="312" t="s">
        <v>612</v>
      </c>
      <c r="N484" s="312" t="s">
        <v>600</v>
      </c>
      <c r="O484" s="312" t="s">
        <v>612</v>
      </c>
      <c r="P484" s="313" t="s">
        <v>3853</v>
      </c>
    </row>
    <row r="485" s="106" customFormat="1" ht="20.1" customHeight="1" spans="1:16">
      <c r="A485" s="279" t="s">
        <v>2167</v>
      </c>
      <c r="B485" s="289" t="s">
        <v>2168</v>
      </c>
      <c r="C485" s="287"/>
      <c r="D485" s="288">
        <f t="shared" si="91"/>
        <v>0</v>
      </c>
      <c r="E485" s="287"/>
      <c r="F485" s="287"/>
      <c r="G485" s="287"/>
      <c r="H485" s="287"/>
      <c r="I485" s="302"/>
      <c r="J485" s="303">
        <f t="shared" si="99"/>
        <v>0</v>
      </c>
      <c r="K485" s="294" t="s">
        <v>3555</v>
      </c>
      <c r="L485" s="44">
        <v>1</v>
      </c>
      <c r="M485" s="308" t="s">
        <v>2167</v>
      </c>
      <c r="N485" s="308"/>
      <c r="O485" s="308" t="s">
        <v>612</v>
      </c>
      <c r="P485" s="309" t="s">
        <v>3854</v>
      </c>
    </row>
    <row r="486" s="106" customFormat="1" ht="20.1" customHeight="1" spans="1:16">
      <c r="A486" s="279" t="s">
        <v>2169</v>
      </c>
      <c r="B486" s="289" t="s">
        <v>2170</v>
      </c>
      <c r="C486" s="287"/>
      <c r="D486" s="288">
        <f t="shared" si="91"/>
        <v>0</v>
      </c>
      <c r="E486" s="287"/>
      <c r="F486" s="287"/>
      <c r="G486" s="287"/>
      <c r="H486" s="287"/>
      <c r="I486" s="302"/>
      <c r="J486" s="303">
        <f t="shared" si="99"/>
        <v>0</v>
      </c>
      <c r="K486" s="294" t="s">
        <v>3555</v>
      </c>
      <c r="L486" s="44">
        <v>1</v>
      </c>
      <c r="M486" s="308" t="s">
        <v>2169</v>
      </c>
      <c r="N486" s="308"/>
      <c r="O486" s="308" t="s">
        <v>612</v>
      </c>
      <c r="P486" s="309" t="s">
        <v>3855</v>
      </c>
    </row>
    <row r="487" s="106" customFormat="1" ht="20.1" customHeight="1" spans="1:16">
      <c r="A487" s="279" t="s">
        <v>2171</v>
      </c>
      <c r="B487" s="41" t="s">
        <v>2172</v>
      </c>
      <c r="C487" s="287">
        <v>0</v>
      </c>
      <c r="D487" s="288">
        <f t="shared" si="91"/>
        <v>0</v>
      </c>
      <c r="E487" s="287"/>
      <c r="F487" s="287"/>
      <c r="G487" s="287"/>
      <c r="H487" s="287"/>
      <c r="I487" s="302"/>
      <c r="J487" s="303">
        <f t="shared" si="99"/>
        <v>0</v>
      </c>
      <c r="K487" s="294" t="s">
        <v>3555</v>
      </c>
      <c r="L487" s="44">
        <v>1</v>
      </c>
      <c r="M487" s="308" t="s">
        <v>2171</v>
      </c>
      <c r="N487" s="308"/>
      <c r="O487" s="308" t="s">
        <v>612</v>
      </c>
      <c r="P487" s="309" t="s">
        <v>3856</v>
      </c>
    </row>
    <row r="488" s="106" customFormat="1" ht="20.1" customHeight="1" spans="1:16">
      <c r="A488" s="279" t="s">
        <v>2173</v>
      </c>
      <c r="B488" s="286" t="s">
        <v>2174</v>
      </c>
      <c r="C488" s="287">
        <v>0</v>
      </c>
      <c r="D488" s="288">
        <f t="shared" si="91"/>
        <v>0</v>
      </c>
      <c r="E488" s="287"/>
      <c r="F488" s="287"/>
      <c r="G488" s="287"/>
      <c r="H488" s="287"/>
      <c r="I488" s="302"/>
      <c r="J488" s="303">
        <f t="shared" si="99"/>
        <v>0</v>
      </c>
      <c r="K488" s="294" t="s">
        <v>3555</v>
      </c>
      <c r="L488" s="44">
        <v>1</v>
      </c>
      <c r="M488" s="308" t="s">
        <v>2173</v>
      </c>
      <c r="N488" s="308"/>
      <c r="O488" s="308" t="s">
        <v>612</v>
      </c>
      <c r="P488" s="309" t="s">
        <v>3857</v>
      </c>
    </row>
    <row r="489" s="107" customFormat="1" ht="20.1" customHeight="1" spans="1:16">
      <c r="A489" s="283" t="s">
        <v>614</v>
      </c>
      <c r="B489" s="323" t="s">
        <v>2175</v>
      </c>
      <c r="C489" s="285">
        <f t="shared" ref="C489:I489" si="102">SUM(C490:C495)</f>
        <v>159</v>
      </c>
      <c r="D489" s="285">
        <f t="shared" si="91"/>
        <v>126</v>
      </c>
      <c r="E489" s="285">
        <f t="shared" si="102"/>
        <v>25</v>
      </c>
      <c r="F489" s="285">
        <f t="shared" si="102"/>
        <v>0</v>
      </c>
      <c r="G489" s="285">
        <f t="shared" si="102"/>
        <v>25</v>
      </c>
      <c r="H489" s="285">
        <f t="shared" si="102"/>
        <v>0</v>
      </c>
      <c r="I489" s="285">
        <f t="shared" si="102"/>
        <v>76</v>
      </c>
      <c r="J489" s="324">
        <f t="shared" si="99"/>
        <v>79.25</v>
      </c>
      <c r="K489" s="300" t="s">
        <v>3551</v>
      </c>
      <c r="L489" s="301"/>
      <c r="M489" s="312" t="s">
        <v>614</v>
      </c>
      <c r="N489" s="312" t="s">
        <v>600</v>
      </c>
      <c r="O489" s="312" t="s">
        <v>614</v>
      </c>
      <c r="P489" s="313" t="s">
        <v>3858</v>
      </c>
    </row>
    <row r="490" s="106" customFormat="1" ht="20.1" customHeight="1" spans="1:16">
      <c r="A490" s="279" t="s">
        <v>2176</v>
      </c>
      <c r="B490" s="286" t="s">
        <v>2125</v>
      </c>
      <c r="C490" s="287">
        <v>78</v>
      </c>
      <c r="D490" s="288">
        <f t="shared" si="91"/>
        <v>66</v>
      </c>
      <c r="E490" s="287"/>
      <c r="F490" s="287"/>
      <c r="G490" s="287"/>
      <c r="H490" s="287"/>
      <c r="I490" s="302">
        <v>66</v>
      </c>
      <c r="J490" s="303">
        <f t="shared" si="99"/>
        <v>84.62</v>
      </c>
      <c r="K490" s="294" t="s">
        <v>3555</v>
      </c>
      <c r="L490" s="44">
        <v>1</v>
      </c>
      <c r="M490" s="308" t="s">
        <v>2176</v>
      </c>
      <c r="N490" s="308"/>
      <c r="O490" s="308" t="s">
        <v>614</v>
      </c>
      <c r="P490" s="314" t="s">
        <v>3832</v>
      </c>
    </row>
    <row r="491" s="106" customFormat="1" ht="20.1" customHeight="1" spans="1:16">
      <c r="A491" s="279" t="s">
        <v>2177</v>
      </c>
      <c r="B491" s="289" t="s">
        <v>2178</v>
      </c>
      <c r="C491" s="287">
        <v>5</v>
      </c>
      <c r="D491" s="288">
        <f t="shared" si="91"/>
        <v>10</v>
      </c>
      <c r="E491" s="287"/>
      <c r="F491" s="287"/>
      <c r="G491" s="287"/>
      <c r="H491" s="287"/>
      <c r="I491" s="302">
        <v>10</v>
      </c>
      <c r="J491" s="303">
        <f t="shared" si="99"/>
        <v>200</v>
      </c>
      <c r="K491" s="294" t="s">
        <v>3555</v>
      </c>
      <c r="L491" s="44">
        <v>1</v>
      </c>
      <c r="M491" s="308" t="s">
        <v>2177</v>
      </c>
      <c r="N491" s="308"/>
      <c r="O491" s="308" t="s">
        <v>614</v>
      </c>
      <c r="P491" s="309" t="s">
        <v>3859</v>
      </c>
    </row>
    <row r="492" s="106" customFormat="1" ht="20.1" customHeight="1" spans="1:16">
      <c r="A492" s="279" t="s">
        <v>2179</v>
      </c>
      <c r="B492" s="289" t="s">
        <v>2180</v>
      </c>
      <c r="C492" s="287"/>
      <c r="D492" s="288">
        <f t="shared" si="91"/>
        <v>0</v>
      </c>
      <c r="E492" s="287"/>
      <c r="F492" s="287"/>
      <c r="G492" s="287"/>
      <c r="H492" s="287"/>
      <c r="I492" s="302"/>
      <c r="J492" s="303">
        <f t="shared" si="99"/>
        <v>0</v>
      </c>
      <c r="K492" s="294" t="s">
        <v>3555</v>
      </c>
      <c r="L492" s="44">
        <v>1</v>
      </c>
      <c r="M492" s="308" t="s">
        <v>2179</v>
      </c>
      <c r="N492" s="308"/>
      <c r="O492" s="308" t="s">
        <v>614</v>
      </c>
      <c r="P492" s="309" t="s">
        <v>3860</v>
      </c>
    </row>
    <row r="493" s="106" customFormat="1" ht="20.1" customHeight="1" spans="1:16">
      <c r="A493" s="279" t="s">
        <v>2181</v>
      </c>
      <c r="B493" s="289" t="s">
        <v>2182</v>
      </c>
      <c r="C493" s="287"/>
      <c r="D493" s="288">
        <f t="shared" si="91"/>
        <v>0</v>
      </c>
      <c r="E493" s="287"/>
      <c r="F493" s="287"/>
      <c r="G493" s="287"/>
      <c r="H493" s="287"/>
      <c r="I493" s="302"/>
      <c r="J493" s="303">
        <f t="shared" si="99"/>
        <v>0</v>
      </c>
      <c r="K493" s="294" t="s">
        <v>3555</v>
      </c>
      <c r="L493" s="44">
        <v>1</v>
      </c>
      <c r="M493" s="308" t="s">
        <v>2181</v>
      </c>
      <c r="N493" s="308"/>
      <c r="O493" s="308" t="s">
        <v>614</v>
      </c>
      <c r="P493" s="309" t="s">
        <v>3861</v>
      </c>
    </row>
    <row r="494" s="106" customFormat="1" ht="20.1" customHeight="1" spans="1:16">
      <c r="A494" s="279" t="s">
        <v>2183</v>
      </c>
      <c r="B494" s="286" t="s">
        <v>2184</v>
      </c>
      <c r="C494" s="287">
        <v>12</v>
      </c>
      <c r="D494" s="288">
        <f t="shared" si="91"/>
        <v>50</v>
      </c>
      <c r="E494" s="287">
        <v>25</v>
      </c>
      <c r="F494" s="287"/>
      <c r="G494" s="287">
        <v>25</v>
      </c>
      <c r="H494" s="287"/>
      <c r="I494" s="302"/>
      <c r="J494" s="303">
        <f t="shared" si="99"/>
        <v>416.67</v>
      </c>
      <c r="K494" s="294" t="s">
        <v>3555</v>
      </c>
      <c r="L494" s="44">
        <v>1</v>
      </c>
      <c r="M494" s="308" t="s">
        <v>2183</v>
      </c>
      <c r="N494" s="308"/>
      <c r="O494" s="308" t="s">
        <v>614</v>
      </c>
      <c r="P494" s="309" t="s">
        <v>3862</v>
      </c>
    </row>
    <row r="495" s="106" customFormat="1" ht="20.1" customHeight="1" spans="1:16">
      <c r="A495" s="279" t="s">
        <v>2185</v>
      </c>
      <c r="B495" s="286" t="s">
        <v>2186</v>
      </c>
      <c r="C495" s="287">
        <v>64</v>
      </c>
      <c r="D495" s="288">
        <f t="shared" si="91"/>
        <v>0</v>
      </c>
      <c r="E495" s="287"/>
      <c r="F495" s="287"/>
      <c r="G495" s="287"/>
      <c r="H495" s="287"/>
      <c r="I495" s="302"/>
      <c r="J495" s="303">
        <f t="shared" si="99"/>
        <v>-100</v>
      </c>
      <c r="K495" s="294" t="s">
        <v>3555</v>
      </c>
      <c r="L495" s="44">
        <v>1</v>
      </c>
      <c r="M495" s="308" t="s">
        <v>2185</v>
      </c>
      <c r="N495" s="308"/>
      <c r="O495" s="308" t="s">
        <v>614</v>
      </c>
      <c r="P495" s="309" t="s">
        <v>3863</v>
      </c>
    </row>
    <row r="496" s="107" customFormat="1" ht="20.1" customHeight="1" spans="1:16">
      <c r="A496" s="283" t="s">
        <v>616</v>
      </c>
      <c r="B496" s="323" t="s">
        <v>2187</v>
      </c>
      <c r="C496" s="285">
        <v>0</v>
      </c>
      <c r="D496" s="285">
        <f t="shared" si="91"/>
        <v>0</v>
      </c>
      <c r="E496" s="285">
        <f t="shared" ref="E496:H496" si="103">SUM(E497:E499)</f>
        <v>0</v>
      </c>
      <c r="F496" s="285">
        <f t="shared" si="103"/>
        <v>0</v>
      </c>
      <c r="G496" s="285">
        <f>VLOOKUP(A496,[1]√表四、2025年公共财政支出变动表!$A$8:$S$221,18,FALSE)</f>
        <v>0</v>
      </c>
      <c r="H496" s="285">
        <f t="shared" si="103"/>
        <v>0</v>
      </c>
      <c r="I496" s="285"/>
      <c r="J496" s="324">
        <f t="shared" si="99"/>
        <v>0</v>
      </c>
      <c r="K496" s="300" t="s">
        <v>3551</v>
      </c>
      <c r="L496" s="301"/>
      <c r="M496" s="312" t="s">
        <v>616</v>
      </c>
      <c r="N496" s="312" t="s">
        <v>600</v>
      </c>
      <c r="O496" s="312" t="s">
        <v>616</v>
      </c>
      <c r="P496" s="313" t="s">
        <v>3864</v>
      </c>
    </row>
    <row r="497" s="106" customFormat="1" ht="20.1" customHeight="1" spans="1:16">
      <c r="A497" s="279" t="s">
        <v>2188</v>
      </c>
      <c r="B497" s="289" t="s">
        <v>2189</v>
      </c>
      <c r="C497" s="287">
        <v>0</v>
      </c>
      <c r="D497" s="288">
        <f t="shared" si="91"/>
        <v>0</v>
      </c>
      <c r="E497" s="287"/>
      <c r="F497" s="287"/>
      <c r="G497" s="287"/>
      <c r="H497" s="287"/>
      <c r="I497" s="302"/>
      <c r="J497" s="303">
        <f t="shared" si="99"/>
        <v>0</v>
      </c>
      <c r="K497" s="294" t="s">
        <v>3555</v>
      </c>
      <c r="L497" s="44">
        <v>1</v>
      </c>
      <c r="M497" s="308" t="s">
        <v>2188</v>
      </c>
      <c r="N497" s="308"/>
      <c r="O497" s="308" t="s">
        <v>616</v>
      </c>
      <c r="P497" s="309" t="s">
        <v>3865</v>
      </c>
    </row>
    <row r="498" s="106" customFormat="1" ht="20.1" customHeight="1" spans="1:16">
      <c r="A498" s="279" t="s">
        <v>2190</v>
      </c>
      <c r="B498" s="289" t="s">
        <v>2191</v>
      </c>
      <c r="C498" s="287">
        <v>0</v>
      </c>
      <c r="D498" s="288">
        <f t="shared" si="91"/>
        <v>0</v>
      </c>
      <c r="E498" s="287"/>
      <c r="F498" s="287"/>
      <c r="G498" s="287"/>
      <c r="H498" s="287"/>
      <c r="I498" s="302"/>
      <c r="J498" s="303">
        <f t="shared" si="99"/>
        <v>0</v>
      </c>
      <c r="K498" s="294" t="s">
        <v>3555</v>
      </c>
      <c r="L498" s="44">
        <v>1</v>
      </c>
      <c r="M498" s="308" t="s">
        <v>2190</v>
      </c>
      <c r="N498" s="308"/>
      <c r="O498" s="308" t="s">
        <v>616</v>
      </c>
      <c r="P498" s="309" t="s">
        <v>3866</v>
      </c>
    </row>
    <row r="499" s="106" customFormat="1" ht="20.1" customHeight="1" spans="1:16">
      <c r="A499" s="279" t="s">
        <v>2192</v>
      </c>
      <c r="B499" s="289" t="s">
        <v>2193</v>
      </c>
      <c r="C499" s="287">
        <v>0</v>
      </c>
      <c r="D499" s="288">
        <f t="shared" si="91"/>
        <v>0</v>
      </c>
      <c r="E499" s="287"/>
      <c r="F499" s="287"/>
      <c r="G499" s="287"/>
      <c r="H499" s="287"/>
      <c r="I499" s="302"/>
      <c r="J499" s="303">
        <f t="shared" si="99"/>
        <v>0</v>
      </c>
      <c r="K499" s="294" t="s">
        <v>3555</v>
      </c>
      <c r="L499" s="44">
        <v>1</v>
      </c>
      <c r="M499" s="308" t="s">
        <v>2192</v>
      </c>
      <c r="N499" s="308"/>
      <c r="O499" s="308" t="s">
        <v>616</v>
      </c>
      <c r="P499" s="309" t="s">
        <v>3867</v>
      </c>
    </row>
    <row r="500" s="107" customFormat="1" ht="20.1" customHeight="1" spans="1:16">
      <c r="A500" s="283" t="s">
        <v>618</v>
      </c>
      <c r="B500" s="323" t="s">
        <v>2194</v>
      </c>
      <c r="C500" s="285">
        <f t="shared" ref="C500:I500" si="104">SUM(C501:C503)</f>
        <v>2</v>
      </c>
      <c r="D500" s="285">
        <f t="shared" si="91"/>
        <v>0</v>
      </c>
      <c r="E500" s="285">
        <f t="shared" si="104"/>
        <v>0</v>
      </c>
      <c r="F500" s="285">
        <f t="shared" si="104"/>
        <v>0</v>
      </c>
      <c r="G500" s="285">
        <f t="shared" si="104"/>
        <v>0</v>
      </c>
      <c r="H500" s="285">
        <f t="shared" si="104"/>
        <v>0</v>
      </c>
      <c r="I500" s="285">
        <f t="shared" si="104"/>
        <v>0</v>
      </c>
      <c r="J500" s="324">
        <f t="shared" si="99"/>
        <v>-100</v>
      </c>
      <c r="K500" s="300" t="s">
        <v>3551</v>
      </c>
      <c r="L500" s="301"/>
      <c r="M500" s="312" t="s">
        <v>618</v>
      </c>
      <c r="N500" s="312" t="s">
        <v>600</v>
      </c>
      <c r="O500" s="312" t="s">
        <v>618</v>
      </c>
      <c r="P500" s="313" t="s">
        <v>3868</v>
      </c>
    </row>
    <row r="501" s="106" customFormat="1" ht="20.1" customHeight="1" spans="1:16">
      <c r="A501" s="279" t="s">
        <v>2195</v>
      </c>
      <c r="B501" s="289" t="s">
        <v>2196</v>
      </c>
      <c r="C501" s="287">
        <v>2</v>
      </c>
      <c r="D501" s="288">
        <f t="shared" si="91"/>
        <v>0</v>
      </c>
      <c r="E501" s="287"/>
      <c r="F501" s="287"/>
      <c r="G501" s="287"/>
      <c r="H501" s="287"/>
      <c r="I501" s="302"/>
      <c r="J501" s="303">
        <f t="shared" si="99"/>
        <v>-100</v>
      </c>
      <c r="K501" s="294" t="s">
        <v>3555</v>
      </c>
      <c r="L501" s="44">
        <v>1</v>
      </c>
      <c r="M501" s="308" t="s">
        <v>2195</v>
      </c>
      <c r="N501" s="308"/>
      <c r="O501" s="308" t="s">
        <v>618</v>
      </c>
      <c r="P501" s="309" t="s">
        <v>3869</v>
      </c>
    </row>
    <row r="502" s="106" customFormat="1" ht="20.1" customHeight="1" spans="1:16">
      <c r="A502" s="279" t="s">
        <v>2197</v>
      </c>
      <c r="B502" s="289" t="s">
        <v>2198</v>
      </c>
      <c r="C502" s="287">
        <v>0</v>
      </c>
      <c r="D502" s="288">
        <f t="shared" si="91"/>
        <v>0</v>
      </c>
      <c r="E502" s="287"/>
      <c r="F502" s="287"/>
      <c r="G502" s="287"/>
      <c r="H502" s="287"/>
      <c r="I502" s="302"/>
      <c r="J502" s="303">
        <f t="shared" si="99"/>
        <v>0</v>
      </c>
      <c r="K502" s="294" t="s">
        <v>3555</v>
      </c>
      <c r="L502" s="44">
        <v>1</v>
      </c>
      <c r="M502" s="308" t="s">
        <v>2197</v>
      </c>
      <c r="N502" s="308"/>
      <c r="O502" s="308" t="s">
        <v>618</v>
      </c>
      <c r="P502" s="309" t="s">
        <v>3870</v>
      </c>
    </row>
    <row r="503" s="106" customFormat="1" ht="20.1" customHeight="1" spans="1:16">
      <c r="A503" s="279" t="s">
        <v>2199</v>
      </c>
      <c r="B503" s="289" t="s">
        <v>2200</v>
      </c>
      <c r="C503" s="287">
        <v>0</v>
      </c>
      <c r="D503" s="288">
        <f t="shared" si="91"/>
        <v>0</v>
      </c>
      <c r="E503" s="287"/>
      <c r="F503" s="287"/>
      <c r="G503" s="287"/>
      <c r="H503" s="287"/>
      <c r="I503" s="302"/>
      <c r="J503" s="303">
        <f t="shared" si="99"/>
        <v>0</v>
      </c>
      <c r="K503" s="294" t="s">
        <v>3555</v>
      </c>
      <c r="L503" s="44">
        <v>1</v>
      </c>
      <c r="M503" s="308" t="s">
        <v>2199</v>
      </c>
      <c r="N503" s="308"/>
      <c r="O503" s="308" t="s">
        <v>618</v>
      </c>
      <c r="P503" s="309" t="s">
        <v>3871</v>
      </c>
    </row>
    <row r="504" s="107" customFormat="1" ht="20.1" customHeight="1" spans="1:16">
      <c r="A504" s="283" t="s">
        <v>620</v>
      </c>
      <c r="B504" s="323" t="s">
        <v>2201</v>
      </c>
      <c r="C504" s="285">
        <f t="shared" ref="C504:I504" si="105">SUM(C505:C508)</f>
        <v>1514</v>
      </c>
      <c r="D504" s="285">
        <f t="shared" si="105"/>
        <v>3</v>
      </c>
      <c r="E504" s="285">
        <f t="shared" si="105"/>
        <v>0</v>
      </c>
      <c r="F504" s="285">
        <f t="shared" si="105"/>
        <v>0</v>
      </c>
      <c r="G504" s="285">
        <f t="shared" si="105"/>
        <v>0</v>
      </c>
      <c r="H504" s="285">
        <f t="shared" si="105"/>
        <v>0</v>
      </c>
      <c r="I504" s="285">
        <f t="shared" si="105"/>
        <v>3</v>
      </c>
      <c r="J504" s="324">
        <f t="shared" si="99"/>
        <v>0.2</v>
      </c>
      <c r="K504" s="300" t="s">
        <v>3551</v>
      </c>
      <c r="L504" s="301"/>
      <c r="M504" s="312" t="s">
        <v>620</v>
      </c>
      <c r="N504" s="312" t="s">
        <v>600</v>
      </c>
      <c r="O504" s="312" t="s">
        <v>620</v>
      </c>
      <c r="P504" s="313" t="s">
        <v>3872</v>
      </c>
    </row>
    <row r="505" s="106" customFormat="1" ht="20.1" customHeight="1" spans="1:16">
      <c r="A505" s="279" t="s">
        <v>2202</v>
      </c>
      <c r="B505" s="286" t="s">
        <v>2203</v>
      </c>
      <c r="C505" s="287"/>
      <c r="D505" s="288">
        <f t="shared" ref="D505:D568" si="106">SUM(E505:I505)</f>
        <v>0</v>
      </c>
      <c r="E505" s="287"/>
      <c r="F505" s="287"/>
      <c r="G505" s="287"/>
      <c r="H505" s="287"/>
      <c r="I505" s="302"/>
      <c r="J505" s="303">
        <f t="shared" si="99"/>
        <v>0</v>
      </c>
      <c r="K505" s="294" t="s">
        <v>3555</v>
      </c>
      <c r="L505" s="44">
        <v>1</v>
      </c>
      <c r="M505" s="308" t="s">
        <v>2202</v>
      </c>
      <c r="N505" s="308"/>
      <c r="O505" s="308" t="s">
        <v>620</v>
      </c>
      <c r="P505" s="309" t="s">
        <v>3873</v>
      </c>
    </row>
    <row r="506" s="106" customFormat="1" ht="20.1" customHeight="1" spans="1:16">
      <c r="A506" s="279" t="s">
        <v>2204</v>
      </c>
      <c r="B506" s="289" t="s">
        <v>2205</v>
      </c>
      <c r="C506" s="287"/>
      <c r="D506" s="288">
        <f t="shared" si="106"/>
        <v>0</v>
      </c>
      <c r="E506" s="287"/>
      <c r="F506" s="287"/>
      <c r="G506" s="287"/>
      <c r="H506" s="287"/>
      <c r="I506" s="302"/>
      <c r="J506" s="303">
        <f t="shared" si="99"/>
        <v>0</v>
      </c>
      <c r="K506" s="294" t="s">
        <v>3555</v>
      </c>
      <c r="L506" s="44">
        <v>1</v>
      </c>
      <c r="M506" s="308" t="s">
        <v>2204</v>
      </c>
      <c r="N506" s="308"/>
      <c r="O506" s="308" t="s">
        <v>620</v>
      </c>
      <c r="P506" s="309" t="s">
        <v>3874</v>
      </c>
    </row>
    <row r="507" s="106" customFormat="1" ht="20.1" customHeight="1" spans="1:16">
      <c r="A507" s="279" t="s">
        <v>2206</v>
      </c>
      <c r="B507" s="289" t="s">
        <v>2207</v>
      </c>
      <c r="C507" s="287"/>
      <c r="D507" s="288">
        <f t="shared" si="106"/>
        <v>0</v>
      </c>
      <c r="E507" s="287"/>
      <c r="F507" s="287"/>
      <c r="G507" s="287"/>
      <c r="H507" s="287"/>
      <c r="I507" s="302"/>
      <c r="J507" s="303">
        <f t="shared" si="99"/>
        <v>0</v>
      </c>
      <c r="K507" s="294" t="s">
        <v>3555</v>
      </c>
      <c r="L507" s="44">
        <v>1</v>
      </c>
      <c r="M507" s="308" t="s">
        <v>2206</v>
      </c>
      <c r="N507" s="308"/>
      <c r="O507" s="308" t="s">
        <v>620</v>
      </c>
      <c r="P507" s="309" t="s">
        <v>3875</v>
      </c>
    </row>
    <row r="508" s="106" customFormat="1" ht="20.1" customHeight="1" spans="1:16">
      <c r="A508" s="279" t="s">
        <v>2208</v>
      </c>
      <c r="B508" s="289" t="s">
        <v>2209</v>
      </c>
      <c r="C508" s="287">
        <v>1514</v>
      </c>
      <c r="D508" s="288">
        <f t="shared" si="106"/>
        <v>3</v>
      </c>
      <c r="E508" s="287"/>
      <c r="F508" s="287"/>
      <c r="G508" s="287"/>
      <c r="H508" s="287"/>
      <c r="I508" s="302">
        <v>3</v>
      </c>
      <c r="J508" s="303">
        <f t="shared" si="99"/>
        <v>0.2</v>
      </c>
      <c r="K508" s="294" t="s">
        <v>3555</v>
      </c>
      <c r="L508" s="44">
        <v>1</v>
      </c>
      <c r="M508" s="308" t="s">
        <v>2208</v>
      </c>
      <c r="N508" s="308"/>
      <c r="O508" s="308" t="s">
        <v>620</v>
      </c>
      <c r="P508" s="309" t="s">
        <v>3872</v>
      </c>
    </row>
    <row r="509" s="107" customFormat="1" ht="20.1" customHeight="1" spans="1:16">
      <c r="A509" s="280" t="s">
        <v>622</v>
      </c>
      <c r="B509" s="281" t="s">
        <v>623</v>
      </c>
      <c r="C509" s="282">
        <f t="shared" ref="C509:I509" si="107">C510+C526+C534+C545+C554+C562</f>
        <v>5264</v>
      </c>
      <c r="D509" s="282">
        <f t="shared" si="106"/>
        <v>3042</v>
      </c>
      <c r="E509" s="282">
        <f t="shared" si="107"/>
        <v>706</v>
      </c>
      <c r="F509" s="282">
        <f t="shared" si="107"/>
        <v>70</v>
      </c>
      <c r="G509" s="282">
        <f t="shared" si="107"/>
        <v>811</v>
      </c>
      <c r="H509" s="282">
        <f t="shared" si="107"/>
        <v>0</v>
      </c>
      <c r="I509" s="282">
        <f t="shared" si="107"/>
        <v>1455</v>
      </c>
      <c r="J509" s="296">
        <f t="shared" si="99"/>
        <v>57.79</v>
      </c>
      <c r="K509" s="297" t="s">
        <v>3550</v>
      </c>
      <c r="L509" s="298"/>
      <c r="M509" s="310" t="s">
        <v>622</v>
      </c>
      <c r="N509" s="310" t="s">
        <v>622</v>
      </c>
      <c r="O509" s="310" t="s">
        <v>622</v>
      </c>
      <c r="P509" s="311" t="s">
        <v>3876</v>
      </c>
    </row>
    <row r="510" s="107" customFormat="1" ht="20.1" customHeight="1" spans="1:16">
      <c r="A510" s="283" t="s">
        <v>624</v>
      </c>
      <c r="B510" s="323" t="s">
        <v>2210</v>
      </c>
      <c r="C510" s="285">
        <f t="shared" ref="C510:I510" si="108">SUM(C511:C525)</f>
        <v>4590</v>
      </c>
      <c r="D510" s="285">
        <f t="shared" si="106"/>
        <v>1867</v>
      </c>
      <c r="E510" s="285">
        <f t="shared" si="108"/>
        <v>443</v>
      </c>
      <c r="F510" s="285">
        <f t="shared" si="108"/>
        <v>0</v>
      </c>
      <c r="G510" s="285">
        <f t="shared" si="108"/>
        <v>484</v>
      </c>
      <c r="H510" s="285">
        <f t="shared" si="108"/>
        <v>0</v>
      </c>
      <c r="I510" s="285">
        <f t="shared" si="108"/>
        <v>940</v>
      </c>
      <c r="J510" s="324">
        <f t="shared" si="99"/>
        <v>40.68</v>
      </c>
      <c r="K510" s="300" t="s">
        <v>3551</v>
      </c>
      <c r="L510" s="301"/>
      <c r="M510" s="312" t="s">
        <v>624</v>
      </c>
      <c r="N510" s="312" t="s">
        <v>622</v>
      </c>
      <c r="O510" s="312" t="s">
        <v>624</v>
      </c>
      <c r="P510" s="313" t="s">
        <v>3877</v>
      </c>
    </row>
    <row r="511" s="106" customFormat="1" ht="20.1" customHeight="1" spans="1:16">
      <c r="A511" s="279" t="s">
        <v>2211</v>
      </c>
      <c r="B511" s="41" t="s">
        <v>1458</v>
      </c>
      <c r="C511" s="287">
        <v>680</v>
      </c>
      <c r="D511" s="288">
        <f t="shared" si="106"/>
        <v>649</v>
      </c>
      <c r="E511" s="287"/>
      <c r="F511" s="287"/>
      <c r="G511" s="287"/>
      <c r="H511" s="287"/>
      <c r="I511" s="302">
        <v>649</v>
      </c>
      <c r="J511" s="303">
        <f t="shared" si="99"/>
        <v>95.44</v>
      </c>
      <c r="K511" s="294" t="s">
        <v>3555</v>
      </c>
      <c r="L511" s="44">
        <v>1</v>
      </c>
      <c r="M511" s="308" t="s">
        <v>2211</v>
      </c>
      <c r="N511" s="308"/>
      <c r="O511" s="308" t="s">
        <v>624</v>
      </c>
      <c r="P511" s="314" t="s">
        <v>3556</v>
      </c>
    </row>
    <row r="512" s="106" customFormat="1" ht="20.1" customHeight="1" spans="1:16">
      <c r="A512" s="279" t="s">
        <v>2212</v>
      </c>
      <c r="B512" s="41" t="s">
        <v>1460</v>
      </c>
      <c r="C512" s="287"/>
      <c r="D512" s="288">
        <f t="shared" si="106"/>
        <v>0</v>
      </c>
      <c r="E512" s="287"/>
      <c r="F512" s="287"/>
      <c r="G512" s="287"/>
      <c r="H512" s="287"/>
      <c r="I512" s="302"/>
      <c r="J512" s="303">
        <f t="shared" si="99"/>
        <v>0</v>
      </c>
      <c r="K512" s="294" t="s">
        <v>3555</v>
      </c>
      <c r="L512" s="44">
        <v>1</v>
      </c>
      <c r="M512" s="308" t="s">
        <v>2212</v>
      </c>
      <c r="N512" s="308"/>
      <c r="O512" s="308" t="s">
        <v>624</v>
      </c>
      <c r="P512" s="314" t="s">
        <v>3557</v>
      </c>
    </row>
    <row r="513" s="106" customFormat="1" ht="20.1" customHeight="1" spans="1:16">
      <c r="A513" s="279" t="s">
        <v>2213</v>
      </c>
      <c r="B513" s="41" t="s">
        <v>1462</v>
      </c>
      <c r="C513" s="287"/>
      <c r="D513" s="288">
        <f t="shared" si="106"/>
        <v>0</v>
      </c>
      <c r="E513" s="287"/>
      <c r="F513" s="287"/>
      <c r="G513" s="287"/>
      <c r="H513" s="287"/>
      <c r="I513" s="302"/>
      <c r="J513" s="303">
        <f t="shared" si="99"/>
        <v>0</v>
      </c>
      <c r="K513" s="294" t="s">
        <v>3555</v>
      </c>
      <c r="L513" s="44">
        <v>1</v>
      </c>
      <c r="M513" s="308" t="s">
        <v>2213</v>
      </c>
      <c r="N513" s="308"/>
      <c r="O513" s="308" t="s">
        <v>624</v>
      </c>
      <c r="P513" s="314" t="s">
        <v>3558</v>
      </c>
    </row>
    <row r="514" s="106" customFormat="1" ht="20.1" customHeight="1" spans="1:16">
      <c r="A514" s="279" t="s">
        <v>2214</v>
      </c>
      <c r="B514" s="41" t="s">
        <v>2215</v>
      </c>
      <c r="C514" s="287">
        <v>21</v>
      </c>
      <c r="D514" s="288">
        <f t="shared" si="106"/>
        <v>23</v>
      </c>
      <c r="E514" s="287"/>
      <c r="F514" s="287"/>
      <c r="G514" s="287"/>
      <c r="H514" s="287"/>
      <c r="I514" s="302">
        <v>23</v>
      </c>
      <c r="J514" s="303">
        <f t="shared" si="99"/>
        <v>109.52</v>
      </c>
      <c r="K514" s="294" t="s">
        <v>3555</v>
      </c>
      <c r="L514" s="44">
        <v>1</v>
      </c>
      <c r="M514" s="308" t="s">
        <v>2214</v>
      </c>
      <c r="N514" s="308"/>
      <c r="O514" s="308" t="s">
        <v>624</v>
      </c>
      <c r="P514" s="309" t="s">
        <v>3878</v>
      </c>
    </row>
    <row r="515" s="106" customFormat="1" ht="20.1" customHeight="1" spans="1:16">
      <c r="A515" s="279" t="s">
        <v>2216</v>
      </c>
      <c r="B515" s="41" t="s">
        <v>2217</v>
      </c>
      <c r="C515" s="287"/>
      <c r="D515" s="288">
        <f t="shared" si="106"/>
        <v>0</v>
      </c>
      <c r="E515" s="287"/>
      <c r="F515" s="287"/>
      <c r="G515" s="287"/>
      <c r="H515" s="287"/>
      <c r="I515" s="302"/>
      <c r="J515" s="303">
        <f t="shared" si="99"/>
        <v>0</v>
      </c>
      <c r="K515" s="294" t="s">
        <v>3555</v>
      </c>
      <c r="L515" s="44">
        <v>1</v>
      </c>
      <c r="M515" s="308" t="s">
        <v>2216</v>
      </c>
      <c r="N515" s="308"/>
      <c r="O515" s="308" t="s">
        <v>624</v>
      </c>
      <c r="P515" s="309" t="s">
        <v>3879</v>
      </c>
    </row>
    <row r="516" s="106" customFormat="1" ht="20.1" customHeight="1" spans="1:16">
      <c r="A516" s="279" t="s">
        <v>2218</v>
      </c>
      <c r="B516" s="41" t="s">
        <v>2219</v>
      </c>
      <c r="C516" s="287"/>
      <c r="D516" s="288">
        <f t="shared" si="106"/>
        <v>0</v>
      </c>
      <c r="E516" s="287"/>
      <c r="F516" s="287"/>
      <c r="G516" s="287"/>
      <c r="H516" s="287"/>
      <c r="I516" s="302"/>
      <c r="J516" s="303">
        <f t="shared" si="99"/>
        <v>0</v>
      </c>
      <c r="K516" s="294" t="s">
        <v>3555</v>
      </c>
      <c r="L516" s="44">
        <v>1</v>
      </c>
      <c r="M516" s="308" t="s">
        <v>2218</v>
      </c>
      <c r="N516" s="308"/>
      <c r="O516" s="308" t="s">
        <v>624</v>
      </c>
      <c r="P516" s="309" t="s">
        <v>3880</v>
      </c>
    </row>
    <row r="517" s="106" customFormat="1" ht="20.1" customHeight="1" spans="1:16">
      <c r="A517" s="279" t="s">
        <v>2220</v>
      </c>
      <c r="B517" s="41" t="s">
        <v>2221</v>
      </c>
      <c r="C517" s="287"/>
      <c r="D517" s="288">
        <f t="shared" si="106"/>
        <v>0</v>
      </c>
      <c r="E517" s="287"/>
      <c r="F517" s="287"/>
      <c r="G517" s="287"/>
      <c r="H517" s="287"/>
      <c r="I517" s="302"/>
      <c r="J517" s="303">
        <f t="shared" si="99"/>
        <v>0</v>
      </c>
      <c r="K517" s="294" t="s">
        <v>3555</v>
      </c>
      <c r="L517" s="44">
        <v>1</v>
      </c>
      <c r="M517" s="308" t="s">
        <v>2220</v>
      </c>
      <c r="N517" s="308"/>
      <c r="O517" s="308" t="s">
        <v>624</v>
      </c>
      <c r="P517" s="309" t="s">
        <v>3881</v>
      </c>
    </row>
    <row r="518" s="106" customFormat="1" ht="20.1" customHeight="1" spans="1:16">
      <c r="A518" s="279" t="s">
        <v>2222</v>
      </c>
      <c r="B518" s="41" t="s">
        <v>2223</v>
      </c>
      <c r="C518" s="287"/>
      <c r="D518" s="288">
        <f t="shared" si="106"/>
        <v>0</v>
      </c>
      <c r="E518" s="287"/>
      <c r="F518" s="287"/>
      <c r="G518" s="287"/>
      <c r="H518" s="287"/>
      <c r="I518" s="302"/>
      <c r="J518" s="303">
        <f t="shared" si="99"/>
        <v>0</v>
      </c>
      <c r="K518" s="294" t="s">
        <v>3555</v>
      </c>
      <c r="L518" s="44">
        <v>1</v>
      </c>
      <c r="M518" s="308" t="s">
        <v>2222</v>
      </c>
      <c r="N518" s="308"/>
      <c r="O518" s="308" t="s">
        <v>624</v>
      </c>
      <c r="P518" s="309" t="s">
        <v>3882</v>
      </c>
    </row>
    <row r="519" s="106" customFormat="1" ht="20.1" customHeight="1" spans="1:16">
      <c r="A519" s="279" t="s">
        <v>2224</v>
      </c>
      <c r="B519" s="41" t="s">
        <v>2225</v>
      </c>
      <c r="C519" s="287">
        <v>101</v>
      </c>
      <c r="D519" s="288">
        <f t="shared" si="106"/>
        <v>83</v>
      </c>
      <c r="E519" s="287"/>
      <c r="F519" s="287"/>
      <c r="G519" s="287"/>
      <c r="H519" s="287"/>
      <c r="I519" s="302">
        <v>83</v>
      </c>
      <c r="J519" s="303">
        <f t="shared" si="99"/>
        <v>82.18</v>
      </c>
      <c r="K519" s="294" t="s">
        <v>3555</v>
      </c>
      <c r="L519" s="44">
        <v>1</v>
      </c>
      <c r="M519" s="308" t="s">
        <v>2224</v>
      </c>
      <c r="N519" s="308"/>
      <c r="O519" s="308" t="s">
        <v>624</v>
      </c>
      <c r="P519" s="309" t="s">
        <v>3883</v>
      </c>
    </row>
    <row r="520" s="106" customFormat="1" ht="20.1" customHeight="1" spans="1:16">
      <c r="A520" s="279" t="s">
        <v>2226</v>
      </c>
      <c r="B520" s="41" t="s">
        <v>2227</v>
      </c>
      <c r="C520" s="287"/>
      <c r="D520" s="288">
        <f t="shared" si="106"/>
        <v>0</v>
      </c>
      <c r="E520" s="287"/>
      <c r="F520" s="287"/>
      <c r="G520" s="287"/>
      <c r="H520" s="287"/>
      <c r="I520" s="302"/>
      <c r="J520" s="303">
        <f t="shared" si="99"/>
        <v>0</v>
      </c>
      <c r="K520" s="294" t="s">
        <v>3555</v>
      </c>
      <c r="L520" s="44">
        <v>1</v>
      </c>
      <c r="M520" s="308" t="s">
        <v>2226</v>
      </c>
      <c r="N520" s="308"/>
      <c r="O520" s="308" t="s">
        <v>624</v>
      </c>
      <c r="P520" s="314" t="s">
        <v>3884</v>
      </c>
    </row>
    <row r="521" s="106" customFormat="1" ht="20.1" customHeight="1" spans="1:16">
      <c r="A521" s="279" t="s">
        <v>2228</v>
      </c>
      <c r="B521" s="41" t="s">
        <v>2229</v>
      </c>
      <c r="C521" s="287">
        <v>98</v>
      </c>
      <c r="D521" s="288">
        <f t="shared" si="106"/>
        <v>87</v>
      </c>
      <c r="E521" s="287"/>
      <c r="F521" s="287"/>
      <c r="G521" s="287">
        <v>87</v>
      </c>
      <c r="H521" s="287"/>
      <c r="I521" s="302"/>
      <c r="J521" s="303">
        <f t="shared" si="99"/>
        <v>88.78</v>
      </c>
      <c r="K521" s="294" t="s">
        <v>3555</v>
      </c>
      <c r="L521" s="44">
        <v>1</v>
      </c>
      <c r="M521" s="308" t="s">
        <v>2228</v>
      </c>
      <c r="N521" s="308"/>
      <c r="O521" s="308" t="s">
        <v>624</v>
      </c>
      <c r="P521" s="314" t="s">
        <v>3885</v>
      </c>
    </row>
    <row r="522" s="106" customFormat="1" ht="20.1" customHeight="1" spans="1:16">
      <c r="A522" s="279" t="s">
        <v>2230</v>
      </c>
      <c r="B522" s="41" t="s">
        <v>2231</v>
      </c>
      <c r="C522" s="287"/>
      <c r="D522" s="288">
        <f t="shared" si="106"/>
        <v>0</v>
      </c>
      <c r="E522" s="287"/>
      <c r="F522" s="287"/>
      <c r="G522" s="287"/>
      <c r="H522" s="287"/>
      <c r="I522" s="302"/>
      <c r="J522" s="303">
        <f t="shared" si="99"/>
        <v>0</v>
      </c>
      <c r="K522" s="294" t="s">
        <v>3555</v>
      </c>
      <c r="L522" s="44">
        <v>1</v>
      </c>
      <c r="M522" s="308" t="s">
        <v>2230</v>
      </c>
      <c r="N522" s="308"/>
      <c r="O522" s="308" t="s">
        <v>624</v>
      </c>
      <c r="P522" s="314" t="s">
        <v>3886</v>
      </c>
    </row>
    <row r="523" s="106" customFormat="1" ht="20.1" customHeight="1" spans="1:16">
      <c r="A523" s="279" t="s">
        <v>2232</v>
      </c>
      <c r="B523" s="41" t="s">
        <v>2233</v>
      </c>
      <c r="C523" s="287">
        <v>4</v>
      </c>
      <c r="D523" s="288">
        <f t="shared" si="106"/>
        <v>0</v>
      </c>
      <c r="E523" s="287"/>
      <c r="F523" s="287"/>
      <c r="G523" s="287"/>
      <c r="H523" s="287"/>
      <c r="I523" s="302"/>
      <c r="J523" s="303">
        <f t="shared" si="99"/>
        <v>-100</v>
      </c>
      <c r="K523" s="294" t="s">
        <v>3555</v>
      </c>
      <c r="L523" s="44">
        <v>1</v>
      </c>
      <c r="M523" s="308" t="s">
        <v>2232</v>
      </c>
      <c r="N523" s="308"/>
      <c r="O523" s="308" t="s">
        <v>624</v>
      </c>
      <c r="P523" s="314" t="s">
        <v>3887</v>
      </c>
    </row>
    <row r="524" s="106" customFormat="1" ht="20.1" customHeight="1" spans="1:16">
      <c r="A524" s="279" t="s">
        <v>2234</v>
      </c>
      <c r="B524" s="41" t="s">
        <v>2235</v>
      </c>
      <c r="C524" s="287">
        <v>110</v>
      </c>
      <c r="D524" s="288">
        <f t="shared" si="106"/>
        <v>118</v>
      </c>
      <c r="E524" s="287"/>
      <c r="F524" s="287"/>
      <c r="G524" s="287"/>
      <c r="H524" s="287"/>
      <c r="I524" s="302">
        <v>118</v>
      </c>
      <c r="J524" s="303">
        <f t="shared" si="99"/>
        <v>107.27</v>
      </c>
      <c r="K524" s="294" t="s">
        <v>3555</v>
      </c>
      <c r="L524" s="44">
        <v>1</v>
      </c>
      <c r="M524" s="308" t="s">
        <v>2234</v>
      </c>
      <c r="N524" s="308"/>
      <c r="O524" s="308" t="s">
        <v>624</v>
      </c>
      <c r="P524" s="314" t="s">
        <v>3888</v>
      </c>
    </row>
    <row r="525" s="106" customFormat="1" ht="20.1" customHeight="1" spans="1:16">
      <c r="A525" s="279" t="s">
        <v>2236</v>
      </c>
      <c r="B525" s="41" t="s">
        <v>2237</v>
      </c>
      <c r="C525" s="287">
        <v>3576</v>
      </c>
      <c r="D525" s="288">
        <f t="shared" si="106"/>
        <v>907</v>
      </c>
      <c r="E525" s="287">
        <v>443</v>
      </c>
      <c r="F525" s="287"/>
      <c r="G525" s="287">
        <v>397</v>
      </c>
      <c r="H525" s="287"/>
      <c r="I525" s="302">
        <v>67</v>
      </c>
      <c r="J525" s="303">
        <f t="shared" si="99"/>
        <v>25.36</v>
      </c>
      <c r="K525" s="294" t="s">
        <v>3555</v>
      </c>
      <c r="L525" s="44">
        <v>1</v>
      </c>
      <c r="M525" s="308" t="s">
        <v>2236</v>
      </c>
      <c r="N525" s="308"/>
      <c r="O525" s="308" t="s">
        <v>624</v>
      </c>
      <c r="P525" s="314" t="s">
        <v>3889</v>
      </c>
    </row>
    <row r="526" s="107" customFormat="1" ht="20.1" customHeight="1" spans="1:16">
      <c r="A526" s="283" t="s">
        <v>626</v>
      </c>
      <c r="B526" s="323" t="s">
        <v>2238</v>
      </c>
      <c r="C526" s="285">
        <f t="shared" ref="C526:I526" si="109">SUM(C527:C533)</f>
        <v>197</v>
      </c>
      <c r="D526" s="285">
        <f t="shared" si="106"/>
        <v>248</v>
      </c>
      <c r="E526" s="285">
        <f t="shared" si="109"/>
        <v>0</v>
      </c>
      <c r="F526" s="285">
        <f t="shared" si="109"/>
        <v>20</v>
      </c>
      <c r="G526" s="285">
        <f t="shared" si="109"/>
        <v>194</v>
      </c>
      <c r="H526" s="285">
        <f t="shared" si="109"/>
        <v>0</v>
      </c>
      <c r="I526" s="285">
        <f t="shared" si="109"/>
        <v>34</v>
      </c>
      <c r="J526" s="324">
        <f t="shared" si="99"/>
        <v>125.89</v>
      </c>
      <c r="K526" s="300" t="s">
        <v>3551</v>
      </c>
      <c r="L526" s="301"/>
      <c r="M526" s="312" t="s">
        <v>626</v>
      </c>
      <c r="N526" s="312" t="s">
        <v>622</v>
      </c>
      <c r="O526" s="312" t="s">
        <v>626</v>
      </c>
      <c r="P526" s="313" t="s">
        <v>3890</v>
      </c>
    </row>
    <row r="527" s="106" customFormat="1" ht="20.1" customHeight="1" spans="1:16">
      <c r="A527" s="279" t="s">
        <v>2239</v>
      </c>
      <c r="B527" s="41" t="s">
        <v>1458</v>
      </c>
      <c r="C527" s="287"/>
      <c r="D527" s="288">
        <f t="shared" si="106"/>
        <v>0</v>
      </c>
      <c r="E527" s="287"/>
      <c r="F527" s="287"/>
      <c r="G527" s="287"/>
      <c r="H527" s="287"/>
      <c r="I527" s="302"/>
      <c r="J527" s="303">
        <f t="shared" si="99"/>
        <v>0</v>
      </c>
      <c r="K527" s="294" t="s">
        <v>3555</v>
      </c>
      <c r="L527" s="44">
        <v>1</v>
      </c>
      <c r="M527" s="308" t="s">
        <v>2239</v>
      </c>
      <c r="N527" s="308"/>
      <c r="O527" s="308" t="s">
        <v>626</v>
      </c>
      <c r="P527" s="314" t="s">
        <v>3556</v>
      </c>
    </row>
    <row r="528" s="106" customFormat="1" ht="20.1" customHeight="1" spans="1:16">
      <c r="A528" s="279" t="s">
        <v>2240</v>
      </c>
      <c r="B528" s="41" t="s">
        <v>1460</v>
      </c>
      <c r="C528" s="287"/>
      <c r="D528" s="288">
        <f t="shared" si="106"/>
        <v>0</v>
      </c>
      <c r="E528" s="287"/>
      <c r="F528" s="287"/>
      <c r="G528" s="287"/>
      <c r="H528" s="287"/>
      <c r="I528" s="302"/>
      <c r="J528" s="303">
        <f t="shared" si="99"/>
        <v>0</v>
      </c>
      <c r="K528" s="294" t="s">
        <v>3555</v>
      </c>
      <c r="L528" s="44">
        <v>1</v>
      </c>
      <c r="M528" s="308" t="s">
        <v>2240</v>
      </c>
      <c r="N528" s="308"/>
      <c r="O528" s="308" t="s">
        <v>626</v>
      </c>
      <c r="P528" s="314" t="s">
        <v>3557</v>
      </c>
    </row>
    <row r="529" s="106" customFormat="1" ht="20.1" customHeight="1" spans="1:16">
      <c r="A529" s="279" t="s">
        <v>2241</v>
      </c>
      <c r="B529" s="41" t="s">
        <v>1462</v>
      </c>
      <c r="C529" s="287"/>
      <c r="D529" s="288">
        <f t="shared" si="106"/>
        <v>0</v>
      </c>
      <c r="E529" s="287"/>
      <c r="F529" s="287"/>
      <c r="G529" s="287"/>
      <c r="H529" s="287"/>
      <c r="I529" s="302"/>
      <c r="J529" s="303">
        <f t="shared" si="99"/>
        <v>0</v>
      </c>
      <c r="K529" s="294" t="s">
        <v>3555</v>
      </c>
      <c r="L529" s="44">
        <v>1</v>
      </c>
      <c r="M529" s="308" t="s">
        <v>2241</v>
      </c>
      <c r="N529" s="308"/>
      <c r="O529" s="308" t="s">
        <v>626</v>
      </c>
      <c r="P529" s="314" t="s">
        <v>3558</v>
      </c>
    </row>
    <row r="530" s="106" customFormat="1" ht="20.1" customHeight="1" spans="1:16">
      <c r="A530" s="279" t="s">
        <v>2242</v>
      </c>
      <c r="B530" s="41" t="s">
        <v>2243</v>
      </c>
      <c r="C530" s="287">
        <v>166</v>
      </c>
      <c r="D530" s="288">
        <f t="shared" si="106"/>
        <v>214</v>
      </c>
      <c r="E530" s="287"/>
      <c r="F530" s="287">
        <v>20</v>
      </c>
      <c r="G530" s="287">
        <v>194</v>
      </c>
      <c r="H530" s="287"/>
      <c r="I530" s="302"/>
      <c r="J530" s="303">
        <f t="shared" si="99"/>
        <v>128.92</v>
      </c>
      <c r="K530" s="294" t="s">
        <v>3555</v>
      </c>
      <c r="L530" s="44">
        <v>1</v>
      </c>
      <c r="M530" s="308" t="s">
        <v>2242</v>
      </c>
      <c r="N530" s="308"/>
      <c r="O530" s="308" t="s">
        <v>626</v>
      </c>
      <c r="P530" s="309" t="s">
        <v>3891</v>
      </c>
    </row>
    <row r="531" s="106" customFormat="1" ht="20.1" customHeight="1" spans="1:16">
      <c r="A531" s="279" t="s">
        <v>2244</v>
      </c>
      <c r="B531" s="41" t="s">
        <v>2245</v>
      </c>
      <c r="C531" s="287">
        <v>31</v>
      </c>
      <c r="D531" s="288">
        <f t="shared" si="106"/>
        <v>34</v>
      </c>
      <c r="E531" s="287"/>
      <c r="F531" s="287"/>
      <c r="G531" s="287"/>
      <c r="H531" s="287"/>
      <c r="I531" s="302">
        <v>34</v>
      </c>
      <c r="J531" s="303">
        <f t="shared" si="99"/>
        <v>109.68</v>
      </c>
      <c r="K531" s="294" t="s">
        <v>3555</v>
      </c>
      <c r="L531" s="44">
        <v>1</v>
      </c>
      <c r="M531" s="308" t="s">
        <v>2244</v>
      </c>
      <c r="N531" s="308"/>
      <c r="O531" s="308" t="s">
        <v>626</v>
      </c>
      <c r="P531" s="309" t="s">
        <v>3892</v>
      </c>
    </row>
    <row r="532" s="106" customFormat="1" ht="20.1" customHeight="1" spans="1:16">
      <c r="A532" s="279" t="s">
        <v>2246</v>
      </c>
      <c r="B532" s="41" t="s">
        <v>2247</v>
      </c>
      <c r="C532" s="287"/>
      <c r="D532" s="288">
        <f t="shared" si="106"/>
        <v>0</v>
      </c>
      <c r="E532" s="287"/>
      <c r="F532" s="287"/>
      <c r="G532" s="287"/>
      <c r="H532" s="287"/>
      <c r="I532" s="302"/>
      <c r="J532" s="303">
        <f t="shared" si="99"/>
        <v>0</v>
      </c>
      <c r="K532" s="294" t="s">
        <v>3555</v>
      </c>
      <c r="L532" s="44">
        <v>1</v>
      </c>
      <c r="M532" s="308" t="s">
        <v>2246</v>
      </c>
      <c r="N532" s="308"/>
      <c r="O532" s="308" t="s">
        <v>626</v>
      </c>
      <c r="P532" s="309" t="s">
        <v>3893</v>
      </c>
    </row>
    <row r="533" s="106" customFormat="1" ht="20.1" customHeight="1" spans="1:16">
      <c r="A533" s="279" t="s">
        <v>2248</v>
      </c>
      <c r="B533" s="41" t="s">
        <v>2249</v>
      </c>
      <c r="C533" s="287"/>
      <c r="D533" s="288">
        <f t="shared" si="106"/>
        <v>0</v>
      </c>
      <c r="E533" s="287"/>
      <c r="F533" s="287"/>
      <c r="G533" s="287"/>
      <c r="H533" s="287"/>
      <c r="I533" s="302"/>
      <c r="J533" s="303">
        <f t="shared" si="99"/>
        <v>0</v>
      </c>
      <c r="K533" s="294" t="s">
        <v>3555</v>
      </c>
      <c r="L533" s="44">
        <v>1</v>
      </c>
      <c r="M533" s="308" t="s">
        <v>2248</v>
      </c>
      <c r="N533" s="308"/>
      <c r="O533" s="308" t="s">
        <v>626</v>
      </c>
      <c r="P533" s="309" t="s">
        <v>3894</v>
      </c>
    </row>
    <row r="534" s="107" customFormat="1" ht="20.1" customHeight="1" spans="1:16">
      <c r="A534" s="283" t="s">
        <v>628</v>
      </c>
      <c r="B534" s="323" t="s">
        <v>2250</v>
      </c>
      <c r="C534" s="285">
        <f t="shared" ref="C534:I534" si="110">SUM(C535:C544)</f>
        <v>23</v>
      </c>
      <c r="D534" s="285">
        <f t="shared" si="106"/>
        <v>56</v>
      </c>
      <c r="E534" s="285">
        <f t="shared" si="110"/>
        <v>0</v>
      </c>
      <c r="F534" s="285">
        <f t="shared" si="110"/>
        <v>0</v>
      </c>
      <c r="G534" s="285">
        <f t="shared" si="110"/>
        <v>36</v>
      </c>
      <c r="H534" s="285">
        <f t="shared" si="110"/>
        <v>0</v>
      </c>
      <c r="I534" s="285">
        <f t="shared" si="110"/>
        <v>20</v>
      </c>
      <c r="J534" s="324">
        <f t="shared" si="99"/>
        <v>243.48</v>
      </c>
      <c r="K534" s="300" t="s">
        <v>3551</v>
      </c>
      <c r="L534" s="301"/>
      <c r="M534" s="312" t="s">
        <v>628</v>
      </c>
      <c r="N534" s="312" t="s">
        <v>622</v>
      </c>
      <c r="O534" s="312" t="s">
        <v>628</v>
      </c>
      <c r="P534" s="313" t="s">
        <v>3895</v>
      </c>
    </row>
    <row r="535" s="106" customFormat="1" ht="20.1" customHeight="1" spans="1:16">
      <c r="A535" s="279" t="s">
        <v>2251</v>
      </c>
      <c r="B535" s="41" t="s">
        <v>1458</v>
      </c>
      <c r="C535" s="287"/>
      <c r="D535" s="288">
        <f t="shared" si="106"/>
        <v>0</v>
      </c>
      <c r="E535" s="287"/>
      <c r="F535" s="287"/>
      <c r="G535" s="287"/>
      <c r="H535" s="287"/>
      <c r="I535" s="302"/>
      <c r="J535" s="303">
        <f t="shared" si="99"/>
        <v>0</v>
      </c>
      <c r="K535" s="294" t="s">
        <v>3555</v>
      </c>
      <c r="L535" s="44">
        <v>1</v>
      </c>
      <c r="M535" s="308" t="s">
        <v>2251</v>
      </c>
      <c r="N535" s="308"/>
      <c r="O535" s="308" t="s">
        <v>628</v>
      </c>
      <c r="P535" s="314" t="s">
        <v>3556</v>
      </c>
    </row>
    <row r="536" s="106" customFormat="1" ht="20.1" customHeight="1" spans="1:16">
      <c r="A536" s="279" t="s">
        <v>2252</v>
      </c>
      <c r="B536" s="41" t="s">
        <v>1460</v>
      </c>
      <c r="C536" s="287"/>
      <c r="D536" s="288">
        <f t="shared" si="106"/>
        <v>0</v>
      </c>
      <c r="E536" s="287"/>
      <c r="F536" s="287"/>
      <c r="G536" s="287"/>
      <c r="H536" s="287"/>
      <c r="I536" s="302"/>
      <c r="J536" s="303">
        <f t="shared" si="99"/>
        <v>0</v>
      </c>
      <c r="K536" s="294" t="s">
        <v>3555</v>
      </c>
      <c r="L536" s="44">
        <v>1</v>
      </c>
      <c r="M536" s="308" t="s">
        <v>2252</v>
      </c>
      <c r="N536" s="308"/>
      <c r="O536" s="308" t="s">
        <v>628</v>
      </c>
      <c r="P536" s="314" t="s">
        <v>3557</v>
      </c>
    </row>
    <row r="537" s="106" customFormat="1" ht="20.1" customHeight="1" spans="1:16">
      <c r="A537" s="279" t="s">
        <v>2253</v>
      </c>
      <c r="B537" s="41" t="s">
        <v>1462</v>
      </c>
      <c r="C537" s="287"/>
      <c r="D537" s="288">
        <f t="shared" si="106"/>
        <v>0</v>
      </c>
      <c r="E537" s="287"/>
      <c r="F537" s="287"/>
      <c r="G537" s="287"/>
      <c r="H537" s="287"/>
      <c r="I537" s="302"/>
      <c r="J537" s="303">
        <f t="shared" si="99"/>
        <v>0</v>
      </c>
      <c r="K537" s="294" t="s">
        <v>3555</v>
      </c>
      <c r="L537" s="44">
        <v>1</v>
      </c>
      <c r="M537" s="308" t="s">
        <v>2253</v>
      </c>
      <c r="N537" s="308"/>
      <c r="O537" s="308" t="s">
        <v>628</v>
      </c>
      <c r="P537" s="314" t="s">
        <v>3558</v>
      </c>
    </row>
    <row r="538" s="106" customFormat="1" ht="20.1" customHeight="1" spans="1:16">
      <c r="A538" s="279" t="s">
        <v>2254</v>
      </c>
      <c r="B538" s="41" t="s">
        <v>2255</v>
      </c>
      <c r="C538" s="287"/>
      <c r="D538" s="288">
        <f t="shared" si="106"/>
        <v>0</v>
      </c>
      <c r="E538" s="287"/>
      <c r="F538" s="287"/>
      <c r="G538" s="287"/>
      <c r="H538" s="287"/>
      <c r="I538" s="302"/>
      <c r="J538" s="303">
        <f t="shared" si="99"/>
        <v>0</v>
      </c>
      <c r="K538" s="294" t="s">
        <v>3555</v>
      </c>
      <c r="L538" s="44">
        <v>1</v>
      </c>
      <c r="M538" s="308" t="s">
        <v>2254</v>
      </c>
      <c r="N538" s="308"/>
      <c r="O538" s="308" t="s">
        <v>628</v>
      </c>
      <c r="P538" s="309" t="s">
        <v>3896</v>
      </c>
    </row>
    <row r="539" s="106" customFormat="1" ht="20.1" customHeight="1" spans="1:16">
      <c r="A539" s="279" t="s">
        <v>2256</v>
      </c>
      <c r="B539" s="41" t="s">
        <v>2257</v>
      </c>
      <c r="C539" s="287"/>
      <c r="D539" s="288">
        <f t="shared" si="106"/>
        <v>0</v>
      </c>
      <c r="E539" s="287"/>
      <c r="F539" s="287"/>
      <c r="G539" s="287"/>
      <c r="H539" s="287"/>
      <c r="I539" s="302"/>
      <c r="J539" s="303">
        <f t="shared" si="99"/>
        <v>0</v>
      </c>
      <c r="K539" s="294" t="s">
        <v>3555</v>
      </c>
      <c r="L539" s="44">
        <v>1</v>
      </c>
      <c r="M539" s="308" t="s">
        <v>2256</v>
      </c>
      <c r="N539" s="308"/>
      <c r="O539" s="308" t="s">
        <v>628</v>
      </c>
      <c r="P539" s="309" t="s">
        <v>3897</v>
      </c>
    </row>
    <row r="540" s="106" customFormat="1" ht="20.1" customHeight="1" spans="1:16">
      <c r="A540" s="279" t="s">
        <v>2258</v>
      </c>
      <c r="B540" s="41" t="s">
        <v>2259</v>
      </c>
      <c r="C540" s="287"/>
      <c r="D540" s="288">
        <f t="shared" si="106"/>
        <v>0</v>
      </c>
      <c r="E540" s="287"/>
      <c r="F540" s="287"/>
      <c r="G540" s="287"/>
      <c r="H540" s="287"/>
      <c r="I540" s="302"/>
      <c r="J540" s="303">
        <f t="shared" si="99"/>
        <v>0</v>
      </c>
      <c r="K540" s="294" t="s">
        <v>3555</v>
      </c>
      <c r="L540" s="44">
        <v>1</v>
      </c>
      <c r="M540" s="308" t="s">
        <v>2258</v>
      </c>
      <c r="N540" s="308"/>
      <c r="O540" s="308" t="s">
        <v>628</v>
      </c>
      <c r="P540" s="309" t="s">
        <v>3898</v>
      </c>
    </row>
    <row r="541" s="106" customFormat="1" ht="20.1" customHeight="1" spans="1:16">
      <c r="A541" s="279" t="s">
        <v>2260</v>
      </c>
      <c r="B541" s="41" t="s">
        <v>2261</v>
      </c>
      <c r="C541" s="287"/>
      <c r="D541" s="288">
        <f t="shared" si="106"/>
        <v>0</v>
      </c>
      <c r="E541" s="287"/>
      <c r="F541" s="287"/>
      <c r="G541" s="287"/>
      <c r="H541" s="287"/>
      <c r="I541" s="302"/>
      <c r="J541" s="303">
        <f t="shared" si="99"/>
        <v>0</v>
      </c>
      <c r="K541" s="294" t="s">
        <v>3555</v>
      </c>
      <c r="L541" s="44">
        <v>1</v>
      </c>
      <c r="M541" s="308" t="s">
        <v>2260</v>
      </c>
      <c r="N541" s="308"/>
      <c r="O541" s="308" t="s">
        <v>628</v>
      </c>
      <c r="P541" s="309" t="s">
        <v>3899</v>
      </c>
    </row>
    <row r="542" s="106" customFormat="1" ht="20.1" customHeight="1" spans="1:16">
      <c r="A542" s="279" t="s">
        <v>2262</v>
      </c>
      <c r="B542" s="41" t="s">
        <v>2263</v>
      </c>
      <c r="C542" s="287">
        <v>23</v>
      </c>
      <c r="D542" s="288">
        <f t="shared" si="106"/>
        <v>20</v>
      </c>
      <c r="E542" s="287"/>
      <c r="F542" s="287"/>
      <c r="G542" s="287"/>
      <c r="H542" s="287"/>
      <c r="I542" s="302">
        <v>20</v>
      </c>
      <c r="J542" s="303">
        <f t="shared" ref="J542:J557" si="111">ROUND(IF(C542=0,IF(D542=0,0,1),IF(D542=0,-1,D542/C542)),4)*100</f>
        <v>86.96</v>
      </c>
      <c r="K542" s="294" t="s">
        <v>3555</v>
      </c>
      <c r="L542" s="44">
        <v>1</v>
      </c>
      <c r="M542" s="308" t="s">
        <v>2262</v>
      </c>
      <c r="N542" s="308"/>
      <c r="O542" s="308" t="s">
        <v>628</v>
      </c>
      <c r="P542" s="309" t="s">
        <v>3900</v>
      </c>
    </row>
    <row r="543" s="106" customFormat="1" ht="20.1" customHeight="1" spans="1:16">
      <c r="A543" s="279" t="s">
        <v>2264</v>
      </c>
      <c r="B543" s="41" t="s">
        <v>2265</v>
      </c>
      <c r="C543" s="287"/>
      <c r="D543" s="288">
        <f t="shared" si="106"/>
        <v>0</v>
      </c>
      <c r="E543" s="287"/>
      <c r="F543" s="287"/>
      <c r="G543" s="287"/>
      <c r="H543" s="287"/>
      <c r="I543" s="302"/>
      <c r="J543" s="303">
        <f t="shared" si="111"/>
        <v>0</v>
      </c>
      <c r="K543" s="294" t="s">
        <v>3555</v>
      </c>
      <c r="L543" s="44">
        <v>1</v>
      </c>
      <c r="M543" s="308" t="s">
        <v>2264</v>
      </c>
      <c r="N543" s="308"/>
      <c r="O543" s="308" t="s">
        <v>628</v>
      </c>
      <c r="P543" s="309" t="s">
        <v>3901</v>
      </c>
    </row>
    <row r="544" s="106" customFormat="1" ht="20.1" customHeight="1" spans="1:16">
      <c r="A544" s="279" t="s">
        <v>2266</v>
      </c>
      <c r="B544" s="41" t="s">
        <v>2267</v>
      </c>
      <c r="C544" s="287"/>
      <c r="D544" s="288">
        <f t="shared" si="106"/>
        <v>36</v>
      </c>
      <c r="E544" s="287"/>
      <c r="F544" s="287"/>
      <c r="G544" s="287">
        <v>36</v>
      </c>
      <c r="H544" s="287"/>
      <c r="I544" s="302"/>
      <c r="J544" s="303">
        <f t="shared" si="111"/>
        <v>100</v>
      </c>
      <c r="K544" s="294" t="s">
        <v>3555</v>
      </c>
      <c r="L544" s="44">
        <v>1</v>
      </c>
      <c r="M544" s="308" t="s">
        <v>2266</v>
      </c>
      <c r="N544" s="308"/>
      <c r="O544" s="308" t="s">
        <v>628</v>
      </c>
      <c r="P544" s="309" t="s">
        <v>3902</v>
      </c>
    </row>
    <row r="545" s="107" customFormat="1" ht="20.1" customHeight="1" spans="1:16">
      <c r="A545" s="283" t="s">
        <v>630</v>
      </c>
      <c r="B545" s="323" t="s">
        <v>2268</v>
      </c>
      <c r="C545" s="285">
        <f t="shared" ref="C545:I545" si="112">SUM(C546:C553)</f>
        <v>64</v>
      </c>
      <c r="D545" s="285">
        <f t="shared" si="106"/>
        <v>0</v>
      </c>
      <c r="E545" s="285">
        <f t="shared" si="112"/>
        <v>0</v>
      </c>
      <c r="F545" s="285">
        <f t="shared" si="112"/>
        <v>0</v>
      </c>
      <c r="G545" s="285">
        <f t="shared" si="112"/>
        <v>0</v>
      </c>
      <c r="H545" s="285">
        <f t="shared" si="112"/>
        <v>0</v>
      </c>
      <c r="I545" s="285">
        <f t="shared" si="112"/>
        <v>0</v>
      </c>
      <c r="J545" s="324">
        <f t="shared" si="111"/>
        <v>-100</v>
      </c>
      <c r="K545" s="300" t="s">
        <v>3551</v>
      </c>
      <c r="L545" s="301"/>
      <c r="M545" s="312" t="s">
        <v>630</v>
      </c>
      <c r="N545" s="312" t="s">
        <v>622</v>
      </c>
      <c r="O545" s="312" t="s">
        <v>630</v>
      </c>
      <c r="P545" s="313" t="s">
        <v>3903</v>
      </c>
    </row>
    <row r="546" s="106" customFormat="1" ht="20.1" customHeight="1" spans="1:16">
      <c r="A546" s="279" t="s">
        <v>2269</v>
      </c>
      <c r="B546" s="41" t="s">
        <v>1458</v>
      </c>
      <c r="C546" s="287"/>
      <c r="D546" s="288">
        <f t="shared" si="106"/>
        <v>0</v>
      </c>
      <c r="E546" s="287"/>
      <c r="F546" s="287"/>
      <c r="G546" s="287"/>
      <c r="H546" s="287"/>
      <c r="I546" s="302"/>
      <c r="J546" s="303">
        <f t="shared" si="111"/>
        <v>0</v>
      </c>
      <c r="K546" s="294" t="s">
        <v>3555</v>
      </c>
      <c r="L546" s="44">
        <v>1</v>
      </c>
      <c r="M546" s="308" t="s">
        <v>2269</v>
      </c>
      <c r="N546" s="308"/>
      <c r="O546" s="308" t="s">
        <v>630</v>
      </c>
      <c r="P546" s="314" t="s">
        <v>3556</v>
      </c>
    </row>
    <row r="547" s="106" customFormat="1" ht="20.1" customHeight="1" spans="1:16">
      <c r="A547" s="279" t="s">
        <v>2270</v>
      </c>
      <c r="B547" s="41" t="s">
        <v>1460</v>
      </c>
      <c r="C547" s="287"/>
      <c r="D547" s="288">
        <f t="shared" si="106"/>
        <v>0</v>
      </c>
      <c r="E547" s="287"/>
      <c r="F547" s="287"/>
      <c r="G547" s="287"/>
      <c r="H547" s="287"/>
      <c r="I547" s="302"/>
      <c r="J547" s="303">
        <f t="shared" si="111"/>
        <v>0</v>
      </c>
      <c r="K547" s="294" t="s">
        <v>3555</v>
      </c>
      <c r="L547" s="44">
        <v>1</v>
      </c>
      <c r="M547" s="308" t="s">
        <v>2270</v>
      </c>
      <c r="N547" s="308"/>
      <c r="O547" s="308" t="s">
        <v>630</v>
      </c>
      <c r="P547" s="314" t="s">
        <v>3557</v>
      </c>
    </row>
    <row r="548" s="106" customFormat="1" ht="20.1" customHeight="1" spans="1:16">
      <c r="A548" s="279" t="s">
        <v>2271</v>
      </c>
      <c r="B548" s="41" t="s">
        <v>1462</v>
      </c>
      <c r="C548" s="287"/>
      <c r="D548" s="288">
        <f t="shared" si="106"/>
        <v>0</v>
      </c>
      <c r="E548" s="287"/>
      <c r="F548" s="287"/>
      <c r="G548" s="287"/>
      <c r="H548" s="287"/>
      <c r="I548" s="302"/>
      <c r="J548" s="303">
        <f t="shared" si="111"/>
        <v>0</v>
      </c>
      <c r="K548" s="294" t="s">
        <v>3555</v>
      </c>
      <c r="L548" s="44">
        <v>1</v>
      </c>
      <c r="M548" s="308" t="s">
        <v>2271</v>
      </c>
      <c r="N548" s="308"/>
      <c r="O548" s="308" t="s">
        <v>630</v>
      </c>
      <c r="P548" s="314" t="s">
        <v>3558</v>
      </c>
    </row>
    <row r="549" s="106" customFormat="1" ht="20.1" customHeight="1" spans="1:16">
      <c r="A549" s="279" t="s">
        <v>2272</v>
      </c>
      <c r="B549" s="41" t="s">
        <v>2273</v>
      </c>
      <c r="C549" s="287"/>
      <c r="D549" s="288">
        <f t="shared" si="106"/>
        <v>0</v>
      </c>
      <c r="E549" s="287"/>
      <c r="F549" s="287"/>
      <c r="G549" s="287"/>
      <c r="H549" s="287"/>
      <c r="I549" s="302"/>
      <c r="J549" s="303">
        <f t="shared" si="111"/>
        <v>0</v>
      </c>
      <c r="K549" s="294" t="s">
        <v>3555</v>
      </c>
      <c r="L549" s="44">
        <v>1</v>
      </c>
      <c r="M549" s="308" t="s">
        <v>2272</v>
      </c>
      <c r="N549" s="308"/>
      <c r="O549" s="308" t="s">
        <v>630</v>
      </c>
      <c r="P549" s="314" t="s">
        <v>3904</v>
      </c>
    </row>
    <row r="550" s="106" customFormat="1" ht="20.1" customHeight="1" spans="1:16">
      <c r="A550" s="279" t="s">
        <v>2274</v>
      </c>
      <c r="B550" s="41" t="s">
        <v>2275</v>
      </c>
      <c r="C550" s="287"/>
      <c r="D550" s="288">
        <f t="shared" si="106"/>
        <v>0</v>
      </c>
      <c r="E550" s="287"/>
      <c r="F550" s="287"/>
      <c r="G550" s="287"/>
      <c r="H550" s="287"/>
      <c r="I550" s="302"/>
      <c r="J550" s="303">
        <f t="shared" si="111"/>
        <v>0</v>
      </c>
      <c r="K550" s="294" t="s">
        <v>3555</v>
      </c>
      <c r="L550" s="44">
        <v>1</v>
      </c>
      <c r="M550" s="308" t="s">
        <v>2274</v>
      </c>
      <c r="N550" s="308"/>
      <c r="O550" s="308" t="s">
        <v>630</v>
      </c>
      <c r="P550" s="314" t="s">
        <v>3905</v>
      </c>
    </row>
    <row r="551" s="106" customFormat="1" ht="20.1" customHeight="1" spans="1:16">
      <c r="A551" s="279" t="s">
        <v>2276</v>
      </c>
      <c r="B551" s="41" t="s">
        <v>2277</v>
      </c>
      <c r="C551" s="287"/>
      <c r="D551" s="288">
        <f t="shared" si="106"/>
        <v>0</v>
      </c>
      <c r="E551" s="287"/>
      <c r="F551" s="287"/>
      <c r="G551" s="287"/>
      <c r="H551" s="287"/>
      <c r="I551" s="302"/>
      <c r="J551" s="303">
        <f t="shared" si="111"/>
        <v>0</v>
      </c>
      <c r="K551" s="294" t="s">
        <v>3555</v>
      </c>
      <c r="L551" s="44">
        <v>1</v>
      </c>
      <c r="M551" s="308" t="s">
        <v>2276</v>
      </c>
      <c r="N551" s="308"/>
      <c r="O551" s="308" t="s">
        <v>630</v>
      </c>
      <c r="P551" s="314" t="s">
        <v>3906</v>
      </c>
    </row>
    <row r="552" s="106" customFormat="1" ht="20.1" customHeight="1" spans="1:16">
      <c r="A552" s="279" t="s">
        <v>2278</v>
      </c>
      <c r="B552" s="41" t="s">
        <v>2279</v>
      </c>
      <c r="C552" s="287">
        <v>64</v>
      </c>
      <c r="D552" s="288">
        <f t="shared" si="106"/>
        <v>0</v>
      </c>
      <c r="E552" s="287"/>
      <c r="F552" s="287"/>
      <c r="G552" s="287"/>
      <c r="H552" s="287"/>
      <c r="I552" s="302"/>
      <c r="J552" s="303">
        <f t="shared" si="111"/>
        <v>-100</v>
      </c>
      <c r="K552" s="294" t="s">
        <v>3555</v>
      </c>
      <c r="L552" s="44">
        <v>1</v>
      </c>
      <c r="M552" s="308" t="s">
        <v>2278</v>
      </c>
      <c r="N552" s="308"/>
      <c r="O552" s="308" t="s">
        <v>630</v>
      </c>
      <c r="P552" s="314" t="s">
        <v>3907</v>
      </c>
    </row>
    <row r="553" s="106" customFormat="1" ht="20.1" customHeight="1" spans="1:16">
      <c r="A553" s="279" t="s">
        <v>2280</v>
      </c>
      <c r="B553" s="41" t="s">
        <v>2281</v>
      </c>
      <c r="C553" s="287"/>
      <c r="D553" s="288">
        <f t="shared" si="106"/>
        <v>0</v>
      </c>
      <c r="E553" s="287"/>
      <c r="F553" s="287"/>
      <c r="G553" s="287"/>
      <c r="H553" s="287"/>
      <c r="I553" s="302"/>
      <c r="J553" s="303">
        <f t="shared" si="111"/>
        <v>0</v>
      </c>
      <c r="K553" s="294" t="s">
        <v>3555</v>
      </c>
      <c r="L553" s="44">
        <v>1</v>
      </c>
      <c r="M553" s="308" t="s">
        <v>2280</v>
      </c>
      <c r="N553" s="308"/>
      <c r="O553" s="308" t="s">
        <v>630</v>
      </c>
      <c r="P553" s="314" t="s">
        <v>3908</v>
      </c>
    </row>
    <row r="554" s="107" customFormat="1" ht="20.1" customHeight="1" spans="1:16">
      <c r="A554" s="283" t="s">
        <v>632</v>
      </c>
      <c r="B554" s="323" t="s">
        <v>2282</v>
      </c>
      <c r="C554" s="285">
        <f t="shared" ref="C554:I554" si="113">SUM(C555:C561)</f>
        <v>384</v>
      </c>
      <c r="D554" s="285">
        <f t="shared" si="106"/>
        <v>570</v>
      </c>
      <c r="E554" s="285">
        <f t="shared" si="113"/>
        <v>46</v>
      </c>
      <c r="F554" s="285">
        <f t="shared" si="113"/>
        <v>0</v>
      </c>
      <c r="G554" s="285">
        <f t="shared" si="113"/>
        <v>63</v>
      </c>
      <c r="H554" s="285">
        <f t="shared" si="113"/>
        <v>0</v>
      </c>
      <c r="I554" s="285">
        <f t="shared" si="113"/>
        <v>461</v>
      </c>
      <c r="J554" s="324">
        <f t="shared" si="111"/>
        <v>148.44</v>
      </c>
      <c r="K554" s="300" t="s">
        <v>3551</v>
      </c>
      <c r="L554" s="301"/>
      <c r="M554" s="312" t="s">
        <v>632</v>
      </c>
      <c r="N554" s="312" t="s">
        <v>622</v>
      </c>
      <c r="O554" s="312" t="s">
        <v>632</v>
      </c>
      <c r="P554" s="313" t="s">
        <v>3909</v>
      </c>
    </row>
    <row r="555" s="106" customFormat="1" ht="20.1" customHeight="1" spans="1:16">
      <c r="A555" s="279" t="s">
        <v>2283</v>
      </c>
      <c r="B555" s="41" t="s">
        <v>1458</v>
      </c>
      <c r="C555" s="287"/>
      <c r="D555" s="288">
        <f t="shared" si="106"/>
        <v>0</v>
      </c>
      <c r="E555" s="287"/>
      <c r="F555" s="287"/>
      <c r="G555" s="287"/>
      <c r="H555" s="287"/>
      <c r="I555" s="302"/>
      <c r="J555" s="303">
        <f t="shared" si="111"/>
        <v>0</v>
      </c>
      <c r="K555" s="294" t="s">
        <v>3555</v>
      </c>
      <c r="L555" s="44">
        <v>1</v>
      </c>
      <c r="M555" s="308" t="s">
        <v>2283</v>
      </c>
      <c r="N555" s="308"/>
      <c r="O555" s="308" t="s">
        <v>632</v>
      </c>
      <c r="P555" s="314" t="s">
        <v>3556</v>
      </c>
    </row>
    <row r="556" s="106" customFormat="1" ht="20.1" customHeight="1" spans="1:16">
      <c r="A556" s="279" t="s">
        <v>2284</v>
      </c>
      <c r="B556" s="41" t="s">
        <v>1460</v>
      </c>
      <c r="C556" s="287"/>
      <c r="D556" s="288">
        <f t="shared" si="106"/>
        <v>0</v>
      </c>
      <c r="E556" s="287"/>
      <c r="F556" s="287"/>
      <c r="G556" s="287"/>
      <c r="H556" s="287"/>
      <c r="I556" s="302"/>
      <c r="J556" s="303">
        <f t="shared" si="111"/>
        <v>0</v>
      </c>
      <c r="K556" s="294" t="s">
        <v>3555</v>
      </c>
      <c r="L556" s="44">
        <v>1</v>
      </c>
      <c r="M556" s="308" t="s">
        <v>2284</v>
      </c>
      <c r="N556" s="308"/>
      <c r="O556" s="308" t="s">
        <v>632</v>
      </c>
      <c r="P556" s="314" t="s">
        <v>3557</v>
      </c>
    </row>
    <row r="557" s="106" customFormat="1" ht="20.1" customHeight="1" spans="1:16">
      <c r="A557" s="279" t="s">
        <v>2285</v>
      </c>
      <c r="B557" s="41" t="s">
        <v>1462</v>
      </c>
      <c r="C557" s="287"/>
      <c r="D557" s="288">
        <f t="shared" si="106"/>
        <v>0</v>
      </c>
      <c r="E557" s="287"/>
      <c r="F557" s="287"/>
      <c r="G557" s="287"/>
      <c r="H557" s="287"/>
      <c r="I557" s="302"/>
      <c r="J557" s="303">
        <f t="shared" si="111"/>
        <v>0</v>
      </c>
      <c r="K557" s="294" t="s">
        <v>3555</v>
      </c>
      <c r="L557" s="44">
        <v>1</v>
      </c>
      <c r="M557" s="308" t="s">
        <v>2285</v>
      </c>
      <c r="N557" s="308"/>
      <c r="O557" s="308" t="s">
        <v>632</v>
      </c>
      <c r="P557" s="314" t="s">
        <v>3558</v>
      </c>
    </row>
    <row r="558" s="106" customFormat="1" ht="20.1" customHeight="1" spans="1:16">
      <c r="A558" s="325" t="s">
        <v>2286</v>
      </c>
      <c r="B558" s="326" t="s">
        <v>2287</v>
      </c>
      <c r="C558" s="287"/>
      <c r="D558" s="288">
        <f t="shared" si="106"/>
        <v>0</v>
      </c>
      <c r="E558" s="287"/>
      <c r="F558" s="287"/>
      <c r="G558" s="287"/>
      <c r="H558" s="287"/>
      <c r="I558" s="302"/>
      <c r="J558" s="303"/>
      <c r="K558" s="294" t="s">
        <v>3555</v>
      </c>
      <c r="L558" s="44">
        <v>1</v>
      </c>
      <c r="M558" s="329" t="s">
        <v>2286</v>
      </c>
      <c r="N558" s="308"/>
      <c r="O558" s="308" t="s">
        <v>632</v>
      </c>
      <c r="P558" s="314" t="s">
        <v>3910</v>
      </c>
    </row>
    <row r="559" s="106" customFormat="1" ht="20.1" customHeight="1" spans="1:16">
      <c r="A559" s="327" t="s">
        <v>2288</v>
      </c>
      <c r="B559" s="328" t="s">
        <v>2289</v>
      </c>
      <c r="C559" s="287">
        <v>45</v>
      </c>
      <c r="D559" s="288">
        <f t="shared" si="106"/>
        <v>124</v>
      </c>
      <c r="E559" s="287">
        <v>46</v>
      </c>
      <c r="F559" s="287"/>
      <c r="G559" s="287">
        <v>55</v>
      </c>
      <c r="H559" s="287"/>
      <c r="I559" s="302">
        <v>23</v>
      </c>
      <c r="J559" s="303">
        <f t="shared" ref="J559:J578" si="114">ROUND(IF(C559=0,IF(D559=0,0,1),IF(D559=0,-1,D559/C559)),4)*100</f>
        <v>275.56</v>
      </c>
      <c r="K559" s="294" t="s">
        <v>3555</v>
      </c>
      <c r="L559" s="44">
        <v>1</v>
      </c>
      <c r="M559" s="330" t="s">
        <v>2288</v>
      </c>
      <c r="N559" s="308"/>
      <c r="O559" s="308" t="s">
        <v>632</v>
      </c>
      <c r="P559" s="314" t="s">
        <v>3911</v>
      </c>
    </row>
    <row r="560" s="106" customFormat="1" ht="20.1" customHeight="1" spans="1:16">
      <c r="A560" s="327" t="s">
        <v>2290</v>
      </c>
      <c r="B560" s="328" t="s">
        <v>2291</v>
      </c>
      <c r="C560" s="287">
        <v>331</v>
      </c>
      <c r="D560" s="288">
        <f t="shared" si="106"/>
        <v>446</v>
      </c>
      <c r="E560" s="287"/>
      <c r="F560" s="287"/>
      <c r="G560" s="287">
        <v>8</v>
      </c>
      <c r="H560" s="287"/>
      <c r="I560" s="302">
        <v>438</v>
      </c>
      <c r="J560" s="303">
        <f t="shared" si="114"/>
        <v>134.74</v>
      </c>
      <c r="K560" s="294" t="s">
        <v>3555</v>
      </c>
      <c r="L560" s="44">
        <v>1</v>
      </c>
      <c r="M560" s="330" t="s">
        <v>2290</v>
      </c>
      <c r="N560" s="308"/>
      <c r="O560" s="308" t="s">
        <v>632</v>
      </c>
      <c r="P560" s="314" t="s">
        <v>3912</v>
      </c>
    </row>
    <row r="561" s="106" customFormat="1" ht="20.1" customHeight="1" spans="1:16">
      <c r="A561" s="279" t="s">
        <v>2292</v>
      </c>
      <c r="B561" s="41" t="s">
        <v>2293</v>
      </c>
      <c r="C561" s="287">
        <v>8</v>
      </c>
      <c r="D561" s="288">
        <f t="shared" si="106"/>
        <v>0</v>
      </c>
      <c r="E561" s="287"/>
      <c r="F561" s="287"/>
      <c r="G561" s="287"/>
      <c r="H561" s="287"/>
      <c r="I561" s="302"/>
      <c r="J561" s="303">
        <f t="shared" si="114"/>
        <v>-100</v>
      </c>
      <c r="K561" s="294" t="s">
        <v>3555</v>
      </c>
      <c r="L561" s="44">
        <v>1</v>
      </c>
      <c r="M561" s="308" t="s">
        <v>2292</v>
      </c>
      <c r="N561" s="308"/>
      <c r="O561" s="308" t="s">
        <v>632</v>
      </c>
      <c r="P561" s="314" t="s">
        <v>3913</v>
      </c>
    </row>
    <row r="562" s="107" customFormat="1" ht="20.1" customHeight="1" spans="1:16">
      <c r="A562" s="283" t="s">
        <v>634</v>
      </c>
      <c r="B562" s="323" t="s">
        <v>2294</v>
      </c>
      <c r="C562" s="285">
        <f t="shared" ref="C562:I562" si="115">SUM(C563:C564)</f>
        <v>6</v>
      </c>
      <c r="D562" s="285">
        <f t="shared" si="106"/>
        <v>301</v>
      </c>
      <c r="E562" s="285">
        <f t="shared" si="115"/>
        <v>217</v>
      </c>
      <c r="F562" s="285">
        <f t="shared" si="115"/>
        <v>50</v>
      </c>
      <c r="G562" s="285">
        <f t="shared" si="115"/>
        <v>34</v>
      </c>
      <c r="H562" s="285">
        <f t="shared" si="115"/>
        <v>0</v>
      </c>
      <c r="I562" s="285">
        <f t="shared" si="115"/>
        <v>0</v>
      </c>
      <c r="J562" s="324">
        <f t="shared" si="114"/>
        <v>5016.67</v>
      </c>
      <c r="K562" s="300" t="s">
        <v>3551</v>
      </c>
      <c r="L562" s="301"/>
      <c r="M562" s="312" t="s">
        <v>634</v>
      </c>
      <c r="N562" s="312" t="s">
        <v>622</v>
      </c>
      <c r="O562" s="312" t="s">
        <v>634</v>
      </c>
      <c r="P562" s="313" t="s">
        <v>3914</v>
      </c>
    </row>
    <row r="563" s="106" customFormat="1" ht="20.1" customHeight="1" spans="1:16">
      <c r="A563" s="279" t="s">
        <v>2295</v>
      </c>
      <c r="B563" s="41" t="s">
        <v>2296</v>
      </c>
      <c r="C563" s="287">
        <v>0</v>
      </c>
      <c r="D563" s="288">
        <f t="shared" si="106"/>
        <v>34</v>
      </c>
      <c r="E563" s="287"/>
      <c r="F563" s="287"/>
      <c r="G563" s="287">
        <v>34</v>
      </c>
      <c r="H563" s="287"/>
      <c r="I563" s="302"/>
      <c r="J563" s="303">
        <f t="shared" si="114"/>
        <v>100</v>
      </c>
      <c r="K563" s="294" t="s">
        <v>3555</v>
      </c>
      <c r="L563" s="44">
        <v>1</v>
      </c>
      <c r="M563" s="308" t="s">
        <v>2295</v>
      </c>
      <c r="N563" s="308"/>
      <c r="O563" s="308" t="s">
        <v>634</v>
      </c>
      <c r="P563" s="309" t="s">
        <v>3915</v>
      </c>
    </row>
    <row r="564" s="106" customFormat="1" ht="20.1" customHeight="1" spans="1:16">
      <c r="A564" s="279" t="s">
        <v>2297</v>
      </c>
      <c r="B564" s="41" t="s">
        <v>2298</v>
      </c>
      <c r="C564" s="287">
        <v>6</v>
      </c>
      <c r="D564" s="288">
        <f t="shared" si="106"/>
        <v>267</v>
      </c>
      <c r="E564" s="287">
        <v>217</v>
      </c>
      <c r="F564" s="287">
        <v>50</v>
      </c>
      <c r="G564" s="287"/>
      <c r="H564" s="287"/>
      <c r="I564" s="302"/>
      <c r="J564" s="303">
        <f t="shared" si="114"/>
        <v>4450</v>
      </c>
      <c r="K564" s="294" t="s">
        <v>3555</v>
      </c>
      <c r="L564" s="44">
        <v>1</v>
      </c>
      <c r="M564" s="308" t="s">
        <v>2297</v>
      </c>
      <c r="N564" s="308"/>
      <c r="O564" s="308" t="s">
        <v>634</v>
      </c>
      <c r="P564" s="309" t="s">
        <v>3914</v>
      </c>
    </row>
    <row r="565" s="107" customFormat="1" ht="20.1" customHeight="1" spans="1:16">
      <c r="A565" s="280" t="s">
        <v>636</v>
      </c>
      <c r="B565" s="281" t="s">
        <v>637</v>
      </c>
      <c r="C565" s="282">
        <f t="shared" ref="C565:I565" si="116">C566+C585+C593+C595+C604+C608+C618+C627+C634+C642+C651+C657+C660+C663+C666+C669+C672+C676+C680+C689+C692</f>
        <v>70163</v>
      </c>
      <c r="D565" s="282">
        <f t="shared" si="106"/>
        <v>73581</v>
      </c>
      <c r="E565" s="282">
        <f t="shared" si="116"/>
        <v>31908</v>
      </c>
      <c r="F565" s="282">
        <f t="shared" si="116"/>
        <v>39</v>
      </c>
      <c r="G565" s="282">
        <f t="shared" si="116"/>
        <v>827</v>
      </c>
      <c r="H565" s="282">
        <f t="shared" si="116"/>
        <v>11277</v>
      </c>
      <c r="I565" s="282">
        <f t="shared" si="116"/>
        <v>29530</v>
      </c>
      <c r="J565" s="296">
        <f t="shared" si="114"/>
        <v>104.87</v>
      </c>
      <c r="K565" s="297" t="s">
        <v>3550</v>
      </c>
      <c r="L565" s="298"/>
      <c r="M565" s="310" t="s">
        <v>636</v>
      </c>
      <c r="N565" s="310" t="s">
        <v>636</v>
      </c>
      <c r="O565" s="310" t="s">
        <v>636</v>
      </c>
      <c r="P565" s="311" t="s">
        <v>3916</v>
      </c>
    </row>
    <row r="566" s="107" customFormat="1" ht="20.1" customHeight="1" spans="1:16">
      <c r="A566" s="283" t="s">
        <v>638</v>
      </c>
      <c r="B566" s="323" t="s">
        <v>2299</v>
      </c>
      <c r="C566" s="285">
        <f t="shared" ref="C566:I566" si="117">SUM(C567:C584)</f>
        <v>1300</v>
      </c>
      <c r="D566" s="285">
        <f t="shared" si="106"/>
        <v>4231</v>
      </c>
      <c r="E566" s="285">
        <f t="shared" si="117"/>
        <v>0</v>
      </c>
      <c r="F566" s="285">
        <f t="shared" si="117"/>
        <v>38</v>
      </c>
      <c r="G566" s="285">
        <f t="shared" si="117"/>
        <v>82</v>
      </c>
      <c r="H566" s="285">
        <f t="shared" si="117"/>
        <v>0</v>
      </c>
      <c r="I566" s="285">
        <f t="shared" si="117"/>
        <v>4111</v>
      </c>
      <c r="J566" s="324">
        <f t="shared" si="114"/>
        <v>325.46</v>
      </c>
      <c r="K566" s="300" t="s">
        <v>3551</v>
      </c>
      <c r="L566" s="301"/>
      <c r="M566" s="312" t="s">
        <v>638</v>
      </c>
      <c r="N566" s="312" t="s">
        <v>636</v>
      </c>
      <c r="O566" s="312" t="s">
        <v>638</v>
      </c>
      <c r="P566" s="313" t="s">
        <v>3917</v>
      </c>
    </row>
    <row r="567" s="106" customFormat="1" ht="20.1" customHeight="1" spans="1:16">
      <c r="A567" s="279" t="s">
        <v>2300</v>
      </c>
      <c r="B567" s="41" t="s">
        <v>1458</v>
      </c>
      <c r="C567" s="287">
        <v>376</v>
      </c>
      <c r="D567" s="288">
        <f t="shared" si="106"/>
        <v>349</v>
      </c>
      <c r="E567" s="287"/>
      <c r="F567" s="287"/>
      <c r="G567" s="287"/>
      <c r="H567" s="287"/>
      <c r="I567" s="302">
        <v>349</v>
      </c>
      <c r="J567" s="303">
        <f t="shared" si="114"/>
        <v>92.82</v>
      </c>
      <c r="K567" s="294" t="s">
        <v>3555</v>
      </c>
      <c r="L567" s="44">
        <v>1</v>
      </c>
      <c r="M567" s="308" t="s">
        <v>2300</v>
      </c>
      <c r="N567" s="308"/>
      <c r="O567" s="308" t="s">
        <v>638</v>
      </c>
      <c r="P567" s="314" t="s">
        <v>3556</v>
      </c>
    </row>
    <row r="568" s="106" customFormat="1" ht="20.1" customHeight="1" spans="1:16">
      <c r="A568" s="279" t="s">
        <v>2301</v>
      </c>
      <c r="B568" s="41" t="s">
        <v>1460</v>
      </c>
      <c r="C568" s="287"/>
      <c r="D568" s="288">
        <f t="shared" si="106"/>
        <v>0</v>
      </c>
      <c r="E568" s="287"/>
      <c r="F568" s="287"/>
      <c r="G568" s="287"/>
      <c r="H568" s="287"/>
      <c r="I568" s="302"/>
      <c r="J568" s="303">
        <f t="shared" si="114"/>
        <v>0</v>
      </c>
      <c r="K568" s="294" t="s">
        <v>3555</v>
      </c>
      <c r="L568" s="44">
        <v>1</v>
      </c>
      <c r="M568" s="308" t="s">
        <v>2301</v>
      </c>
      <c r="N568" s="308"/>
      <c r="O568" s="308" t="s">
        <v>638</v>
      </c>
      <c r="P568" s="314" t="s">
        <v>3557</v>
      </c>
    </row>
    <row r="569" s="106" customFormat="1" ht="20.1" customHeight="1" spans="1:16">
      <c r="A569" s="279" t="s">
        <v>2302</v>
      </c>
      <c r="B569" s="41" t="s">
        <v>1462</v>
      </c>
      <c r="C569" s="287"/>
      <c r="D569" s="288">
        <f t="shared" ref="D569:D632" si="118">SUM(E569:I569)</f>
        <v>0</v>
      </c>
      <c r="E569" s="287"/>
      <c r="F569" s="287"/>
      <c r="G569" s="287"/>
      <c r="H569" s="287"/>
      <c r="I569" s="302"/>
      <c r="J569" s="303">
        <f t="shared" si="114"/>
        <v>0</v>
      </c>
      <c r="K569" s="294" t="s">
        <v>3555</v>
      </c>
      <c r="L569" s="44">
        <v>1</v>
      </c>
      <c r="M569" s="308" t="s">
        <v>2302</v>
      </c>
      <c r="N569" s="308"/>
      <c r="O569" s="308" t="s">
        <v>638</v>
      </c>
      <c r="P569" s="314" t="s">
        <v>3558</v>
      </c>
    </row>
    <row r="570" s="106" customFormat="1" ht="20.1" customHeight="1" spans="1:16">
      <c r="A570" s="279" t="s">
        <v>2303</v>
      </c>
      <c r="B570" s="41" t="s">
        <v>2304</v>
      </c>
      <c r="C570" s="287">
        <v>3</v>
      </c>
      <c r="D570" s="288">
        <f t="shared" si="118"/>
        <v>16</v>
      </c>
      <c r="E570" s="287"/>
      <c r="F570" s="287"/>
      <c r="G570" s="287"/>
      <c r="H570" s="287"/>
      <c r="I570" s="302">
        <v>16</v>
      </c>
      <c r="J570" s="303">
        <f t="shared" si="114"/>
        <v>533.33</v>
      </c>
      <c r="K570" s="294" t="s">
        <v>3555</v>
      </c>
      <c r="L570" s="44">
        <v>1</v>
      </c>
      <c r="M570" s="308" t="s">
        <v>2303</v>
      </c>
      <c r="N570" s="308"/>
      <c r="O570" s="308" t="s">
        <v>638</v>
      </c>
      <c r="P570" s="309" t="s">
        <v>3918</v>
      </c>
    </row>
    <row r="571" s="106" customFormat="1" ht="20.1" customHeight="1" spans="1:16">
      <c r="A571" s="279" t="s">
        <v>2305</v>
      </c>
      <c r="B571" s="41" t="s">
        <v>2306</v>
      </c>
      <c r="C571" s="287"/>
      <c r="D571" s="288">
        <f t="shared" si="118"/>
        <v>0</v>
      </c>
      <c r="E571" s="287"/>
      <c r="F571" s="287"/>
      <c r="G571" s="287"/>
      <c r="H571" s="287"/>
      <c r="I571" s="302"/>
      <c r="J571" s="303">
        <f t="shared" si="114"/>
        <v>0</v>
      </c>
      <c r="K571" s="294" t="s">
        <v>3555</v>
      </c>
      <c r="L571" s="44">
        <v>1</v>
      </c>
      <c r="M571" s="308" t="s">
        <v>2305</v>
      </c>
      <c r="N571" s="308"/>
      <c r="O571" s="308" t="s">
        <v>638</v>
      </c>
      <c r="P571" s="309" t="s">
        <v>3919</v>
      </c>
    </row>
    <row r="572" s="106" customFormat="1" ht="20.1" customHeight="1" spans="1:16">
      <c r="A572" s="279" t="s">
        <v>2307</v>
      </c>
      <c r="B572" s="41" t="s">
        <v>2308</v>
      </c>
      <c r="C572" s="287"/>
      <c r="D572" s="288">
        <f t="shared" si="118"/>
        <v>0</v>
      </c>
      <c r="E572" s="287"/>
      <c r="F572" s="287"/>
      <c r="G572" s="287"/>
      <c r="H572" s="287"/>
      <c r="I572" s="302"/>
      <c r="J572" s="303">
        <f t="shared" si="114"/>
        <v>0</v>
      </c>
      <c r="K572" s="294" t="s">
        <v>3555</v>
      </c>
      <c r="L572" s="44">
        <v>1</v>
      </c>
      <c r="M572" s="308" t="s">
        <v>2307</v>
      </c>
      <c r="N572" s="308"/>
      <c r="O572" s="308" t="s">
        <v>638</v>
      </c>
      <c r="P572" s="309" t="s">
        <v>3920</v>
      </c>
    </row>
    <row r="573" s="106" customFormat="1" ht="20.1" customHeight="1" spans="1:16">
      <c r="A573" s="279" t="s">
        <v>2309</v>
      </c>
      <c r="B573" s="41" t="s">
        <v>2310</v>
      </c>
      <c r="C573" s="287"/>
      <c r="D573" s="288">
        <f t="shared" si="118"/>
        <v>0</v>
      </c>
      <c r="E573" s="287"/>
      <c r="F573" s="287"/>
      <c r="G573" s="287"/>
      <c r="H573" s="287"/>
      <c r="I573" s="302"/>
      <c r="J573" s="303">
        <f t="shared" si="114"/>
        <v>0</v>
      </c>
      <c r="K573" s="294" t="s">
        <v>3555</v>
      </c>
      <c r="L573" s="44">
        <v>1</v>
      </c>
      <c r="M573" s="308" t="s">
        <v>2309</v>
      </c>
      <c r="N573" s="308"/>
      <c r="O573" s="308" t="s">
        <v>638</v>
      </c>
      <c r="P573" s="309" t="s">
        <v>3921</v>
      </c>
    </row>
    <row r="574" s="106" customFormat="1" ht="20.1" customHeight="1" spans="1:16">
      <c r="A574" s="279" t="s">
        <v>2311</v>
      </c>
      <c r="B574" s="41" t="s">
        <v>1553</v>
      </c>
      <c r="C574" s="287"/>
      <c r="D574" s="288">
        <f t="shared" si="118"/>
        <v>0</v>
      </c>
      <c r="E574" s="287"/>
      <c r="F574" s="287"/>
      <c r="G574" s="287"/>
      <c r="H574" s="287"/>
      <c r="I574" s="302"/>
      <c r="J574" s="303">
        <f t="shared" si="114"/>
        <v>0</v>
      </c>
      <c r="K574" s="294" t="s">
        <v>3555</v>
      </c>
      <c r="L574" s="44">
        <v>1</v>
      </c>
      <c r="M574" s="308" t="s">
        <v>2311</v>
      </c>
      <c r="N574" s="308"/>
      <c r="O574" s="308" t="s">
        <v>638</v>
      </c>
      <c r="P574" s="314" t="s">
        <v>3596</v>
      </c>
    </row>
    <row r="575" s="106" customFormat="1" ht="20.1" customHeight="1" spans="1:16">
      <c r="A575" s="279" t="s">
        <v>2312</v>
      </c>
      <c r="B575" s="41" t="s">
        <v>2313</v>
      </c>
      <c r="C575" s="287">
        <v>505</v>
      </c>
      <c r="D575" s="288">
        <f t="shared" si="118"/>
        <v>431</v>
      </c>
      <c r="E575" s="287"/>
      <c r="F575" s="287"/>
      <c r="G575" s="287"/>
      <c r="H575" s="287"/>
      <c r="I575" s="302">
        <v>431</v>
      </c>
      <c r="J575" s="303">
        <f t="shared" si="114"/>
        <v>85.35</v>
      </c>
      <c r="K575" s="294" t="s">
        <v>3555</v>
      </c>
      <c r="L575" s="44">
        <v>1</v>
      </c>
      <c r="M575" s="308" t="s">
        <v>2312</v>
      </c>
      <c r="N575" s="308"/>
      <c r="O575" s="308" t="s">
        <v>638</v>
      </c>
      <c r="P575" s="309" t="s">
        <v>3922</v>
      </c>
    </row>
    <row r="576" s="106" customFormat="1" ht="20.1" customHeight="1" spans="1:16">
      <c r="A576" s="279" t="s">
        <v>2314</v>
      </c>
      <c r="B576" s="41" t="s">
        <v>2315</v>
      </c>
      <c r="C576" s="287"/>
      <c r="D576" s="288">
        <f t="shared" si="118"/>
        <v>0</v>
      </c>
      <c r="E576" s="287"/>
      <c r="F576" s="287"/>
      <c r="G576" s="287"/>
      <c r="H576" s="287"/>
      <c r="I576" s="302"/>
      <c r="J576" s="303">
        <f t="shared" si="114"/>
        <v>0</v>
      </c>
      <c r="K576" s="294" t="s">
        <v>3555</v>
      </c>
      <c r="L576" s="44">
        <v>1</v>
      </c>
      <c r="M576" s="308" t="s">
        <v>2314</v>
      </c>
      <c r="N576" s="308"/>
      <c r="O576" s="308" t="s">
        <v>638</v>
      </c>
      <c r="P576" s="309" t="s">
        <v>3923</v>
      </c>
    </row>
    <row r="577" s="106" customFormat="1" ht="20.1" customHeight="1" spans="1:16">
      <c r="A577" s="279" t="s">
        <v>2316</v>
      </c>
      <c r="B577" s="41" t="s">
        <v>2317</v>
      </c>
      <c r="C577" s="287"/>
      <c r="D577" s="288">
        <f t="shared" si="118"/>
        <v>0</v>
      </c>
      <c r="E577" s="287"/>
      <c r="F577" s="287"/>
      <c r="G577" s="287"/>
      <c r="H577" s="287"/>
      <c r="I577" s="302"/>
      <c r="J577" s="303">
        <f t="shared" si="114"/>
        <v>0</v>
      </c>
      <c r="K577" s="294" t="s">
        <v>3555</v>
      </c>
      <c r="L577" s="44">
        <v>1</v>
      </c>
      <c r="M577" s="308" t="s">
        <v>2316</v>
      </c>
      <c r="N577" s="308"/>
      <c r="O577" s="308" t="s">
        <v>638</v>
      </c>
      <c r="P577" s="309" t="s">
        <v>3924</v>
      </c>
    </row>
    <row r="578" s="106" customFormat="1" ht="20.1" customHeight="1" spans="1:16">
      <c r="A578" s="279" t="s">
        <v>2318</v>
      </c>
      <c r="B578" s="41" t="s">
        <v>2319</v>
      </c>
      <c r="C578" s="287">
        <v>2</v>
      </c>
      <c r="D578" s="288">
        <f t="shared" si="118"/>
        <v>3</v>
      </c>
      <c r="E578" s="287"/>
      <c r="F578" s="287"/>
      <c r="G578" s="287"/>
      <c r="H578" s="287"/>
      <c r="I578" s="302">
        <v>3</v>
      </c>
      <c r="J578" s="303">
        <f t="shared" si="114"/>
        <v>150</v>
      </c>
      <c r="K578" s="294" t="s">
        <v>3555</v>
      </c>
      <c r="L578" s="44">
        <v>1</v>
      </c>
      <c r="M578" s="308" t="s">
        <v>2318</v>
      </c>
      <c r="N578" s="308"/>
      <c r="O578" s="308" t="s">
        <v>638</v>
      </c>
      <c r="P578" s="309" t="s">
        <v>3925</v>
      </c>
    </row>
    <row r="579" s="106" customFormat="1" ht="20.1" customHeight="1" spans="1:16">
      <c r="A579" s="279" t="s">
        <v>2320</v>
      </c>
      <c r="B579" s="41" t="s">
        <v>2321</v>
      </c>
      <c r="C579" s="287"/>
      <c r="D579" s="288">
        <f t="shared" si="118"/>
        <v>0</v>
      </c>
      <c r="E579" s="287"/>
      <c r="F579" s="287"/>
      <c r="G579" s="287"/>
      <c r="H579" s="287"/>
      <c r="I579" s="302"/>
      <c r="J579" s="303"/>
      <c r="K579" s="294" t="s">
        <v>3555</v>
      </c>
      <c r="L579" s="44">
        <v>1</v>
      </c>
      <c r="M579" s="308" t="s">
        <v>2320</v>
      </c>
      <c r="N579" s="308"/>
      <c r="O579" s="308" t="s">
        <v>638</v>
      </c>
      <c r="P579" s="331" t="s">
        <v>3926</v>
      </c>
    </row>
    <row r="580" s="106" customFormat="1" ht="20.1" customHeight="1" spans="1:16">
      <c r="A580" s="279" t="s">
        <v>2322</v>
      </c>
      <c r="B580" s="41" t="s">
        <v>2323</v>
      </c>
      <c r="C580" s="287"/>
      <c r="D580" s="288">
        <f t="shared" si="118"/>
        <v>0</v>
      </c>
      <c r="E580" s="287"/>
      <c r="F580" s="287"/>
      <c r="G580" s="287"/>
      <c r="H580" s="287"/>
      <c r="I580" s="302"/>
      <c r="J580" s="303"/>
      <c r="K580" s="294" t="s">
        <v>3555</v>
      </c>
      <c r="L580" s="44">
        <v>1</v>
      </c>
      <c r="M580" s="308" t="s">
        <v>2322</v>
      </c>
      <c r="N580" s="308"/>
      <c r="O580" s="308" t="s">
        <v>638</v>
      </c>
      <c r="P580" s="331" t="s">
        <v>3927</v>
      </c>
    </row>
    <row r="581" s="106" customFormat="1" ht="20.1" customHeight="1" spans="1:16">
      <c r="A581" s="279" t="s">
        <v>2324</v>
      </c>
      <c r="B581" s="41" t="s">
        <v>2325</v>
      </c>
      <c r="C581" s="287"/>
      <c r="D581" s="288">
        <f t="shared" si="118"/>
        <v>0</v>
      </c>
      <c r="E581" s="287"/>
      <c r="F581" s="287"/>
      <c r="G581" s="287"/>
      <c r="H581" s="287"/>
      <c r="I581" s="302"/>
      <c r="J581" s="303"/>
      <c r="K581" s="294" t="s">
        <v>3555</v>
      </c>
      <c r="L581" s="44">
        <v>1</v>
      </c>
      <c r="M581" s="308" t="s">
        <v>2324</v>
      </c>
      <c r="N581" s="308"/>
      <c r="O581" s="308" t="s">
        <v>638</v>
      </c>
      <c r="P581" s="331" t="s">
        <v>3928</v>
      </c>
    </row>
    <row r="582" s="106" customFormat="1" ht="20.1" customHeight="1" spans="1:16">
      <c r="A582" s="279" t="s">
        <v>2326</v>
      </c>
      <c r="B582" s="41" t="s">
        <v>2327</v>
      </c>
      <c r="C582" s="287"/>
      <c r="D582" s="288">
        <f t="shared" si="118"/>
        <v>0</v>
      </c>
      <c r="E582" s="287"/>
      <c r="F582" s="287"/>
      <c r="G582" s="287"/>
      <c r="H582" s="287"/>
      <c r="I582" s="302"/>
      <c r="J582" s="303"/>
      <c r="K582" s="294" t="s">
        <v>3555</v>
      </c>
      <c r="L582" s="44">
        <v>1</v>
      </c>
      <c r="M582" s="308" t="s">
        <v>2326</v>
      </c>
      <c r="N582" s="308"/>
      <c r="O582" s="308" t="s">
        <v>638</v>
      </c>
      <c r="P582" s="331" t="s">
        <v>3929</v>
      </c>
    </row>
    <row r="583" s="106" customFormat="1" ht="20.1" customHeight="1" spans="1:16">
      <c r="A583" s="279" t="s">
        <v>2328</v>
      </c>
      <c r="B583" s="41" t="s">
        <v>1476</v>
      </c>
      <c r="C583" s="287">
        <v>6</v>
      </c>
      <c r="D583" s="288">
        <f t="shared" si="118"/>
        <v>24</v>
      </c>
      <c r="E583" s="287"/>
      <c r="F583" s="287"/>
      <c r="G583" s="287"/>
      <c r="H583" s="287"/>
      <c r="I583" s="302">
        <v>24</v>
      </c>
      <c r="J583" s="303"/>
      <c r="K583" s="294" t="s">
        <v>3555</v>
      </c>
      <c r="L583" s="44">
        <v>1</v>
      </c>
      <c r="M583" s="308" t="s">
        <v>2328</v>
      </c>
      <c r="N583" s="308"/>
      <c r="O583" s="308" t="s">
        <v>638</v>
      </c>
      <c r="P583" s="309" t="s">
        <v>3565</v>
      </c>
    </row>
    <row r="584" s="106" customFormat="1" ht="20.1" customHeight="1" spans="1:16">
      <c r="A584" s="279" t="s">
        <v>2329</v>
      </c>
      <c r="B584" s="41" t="s">
        <v>2330</v>
      </c>
      <c r="C584" s="287">
        <v>408</v>
      </c>
      <c r="D584" s="288">
        <f t="shared" si="118"/>
        <v>3408</v>
      </c>
      <c r="E584" s="287"/>
      <c r="F584" s="287">
        <v>38</v>
      </c>
      <c r="G584" s="287">
        <v>82</v>
      </c>
      <c r="H584" s="287"/>
      <c r="I584" s="302">
        <v>3288</v>
      </c>
      <c r="J584" s="303">
        <f t="shared" ref="J584:J590" si="119">ROUND(IF(C584=0,IF(D584=0,0,1),IF(D584=0,-1,D584/C584)),4)*100</f>
        <v>835.29</v>
      </c>
      <c r="K584" s="294" t="s">
        <v>3555</v>
      </c>
      <c r="L584" s="44">
        <v>1</v>
      </c>
      <c r="M584" s="308" t="s">
        <v>2329</v>
      </c>
      <c r="N584" s="308"/>
      <c r="O584" s="308" t="s">
        <v>638</v>
      </c>
      <c r="P584" s="309" t="s">
        <v>3930</v>
      </c>
    </row>
    <row r="585" s="107" customFormat="1" ht="20.1" customHeight="1" spans="1:16">
      <c r="A585" s="283" t="s">
        <v>640</v>
      </c>
      <c r="B585" s="323" t="s">
        <v>2331</v>
      </c>
      <c r="C585" s="285">
        <f t="shared" ref="C585:I585" si="120">SUM(C586:C592)</f>
        <v>811</v>
      </c>
      <c r="D585" s="285">
        <f t="shared" si="118"/>
        <v>327</v>
      </c>
      <c r="E585" s="285">
        <f t="shared" si="120"/>
        <v>0</v>
      </c>
      <c r="F585" s="285">
        <f t="shared" si="120"/>
        <v>0</v>
      </c>
      <c r="G585" s="285">
        <f t="shared" si="120"/>
        <v>20</v>
      </c>
      <c r="H585" s="285">
        <f t="shared" si="120"/>
        <v>0</v>
      </c>
      <c r="I585" s="285">
        <f t="shared" si="120"/>
        <v>307</v>
      </c>
      <c r="J585" s="324">
        <f t="shared" si="119"/>
        <v>40.32</v>
      </c>
      <c r="K585" s="300" t="s">
        <v>3551</v>
      </c>
      <c r="L585" s="301"/>
      <c r="M585" s="312" t="s">
        <v>640</v>
      </c>
      <c r="N585" s="312" t="s">
        <v>636</v>
      </c>
      <c r="O585" s="312" t="s">
        <v>640</v>
      </c>
      <c r="P585" s="313" t="s">
        <v>3931</v>
      </c>
    </row>
    <row r="586" s="106" customFormat="1" ht="20.1" customHeight="1" spans="1:16">
      <c r="A586" s="279" t="s">
        <v>2332</v>
      </c>
      <c r="B586" s="41" t="s">
        <v>1458</v>
      </c>
      <c r="C586" s="287">
        <v>313</v>
      </c>
      <c r="D586" s="288">
        <f t="shared" si="118"/>
        <v>218</v>
      </c>
      <c r="E586" s="287"/>
      <c r="F586" s="287"/>
      <c r="G586" s="287"/>
      <c r="H586" s="287"/>
      <c r="I586" s="302">
        <v>218</v>
      </c>
      <c r="J586" s="303">
        <f t="shared" si="119"/>
        <v>69.65</v>
      </c>
      <c r="K586" s="294" t="s">
        <v>3555</v>
      </c>
      <c r="L586" s="44">
        <v>1</v>
      </c>
      <c r="M586" s="308" t="s">
        <v>2332</v>
      </c>
      <c r="N586" s="308"/>
      <c r="O586" s="308" t="s">
        <v>640</v>
      </c>
      <c r="P586" s="314" t="s">
        <v>3556</v>
      </c>
    </row>
    <row r="587" s="106" customFormat="1" ht="20.1" customHeight="1" spans="1:16">
      <c r="A587" s="279" t="s">
        <v>2333</v>
      </c>
      <c r="B587" s="41" t="s">
        <v>1460</v>
      </c>
      <c r="C587" s="287"/>
      <c r="D587" s="288">
        <f t="shared" si="118"/>
        <v>0</v>
      </c>
      <c r="E587" s="287"/>
      <c r="F587" s="287"/>
      <c r="G587" s="287"/>
      <c r="H587" s="287"/>
      <c r="I587" s="302"/>
      <c r="J587" s="303">
        <f t="shared" si="119"/>
        <v>0</v>
      </c>
      <c r="K587" s="294" t="s">
        <v>3555</v>
      </c>
      <c r="L587" s="44">
        <v>1</v>
      </c>
      <c r="M587" s="308" t="s">
        <v>2333</v>
      </c>
      <c r="N587" s="308"/>
      <c r="O587" s="308" t="s">
        <v>640</v>
      </c>
      <c r="P587" s="314" t="s">
        <v>3557</v>
      </c>
    </row>
    <row r="588" s="106" customFormat="1" ht="20.1" customHeight="1" spans="1:16">
      <c r="A588" s="279" t="s">
        <v>2334</v>
      </c>
      <c r="B588" s="41" t="s">
        <v>1462</v>
      </c>
      <c r="C588" s="287"/>
      <c r="D588" s="288">
        <f t="shared" si="118"/>
        <v>0</v>
      </c>
      <c r="E588" s="287"/>
      <c r="F588" s="287"/>
      <c r="G588" s="287"/>
      <c r="H588" s="287"/>
      <c r="I588" s="302"/>
      <c r="J588" s="303">
        <f t="shared" si="119"/>
        <v>0</v>
      </c>
      <c r="K588" s="294" t="s">
        <v>3555</v>
      </c>
      <c r="L588" s="44">
        <v>1</v>
      </c>
      <c r="M588" s="308" t="s">
        <v>2334</v>
      </c>
      <c r="N588" s="308"/>
      <c r="O588" s="308" t="s">
        <v>640</v>
      </c>
      <c r="P588" s="314" t="s">
        <v>3558</v>
      </c>
    </row>
    <row r="589" s="106" customFormat="1" ht="20.1" customHeight="1" spans="1:16">
      <c r="A589" s="279" t="s">
        <v>2335</v>
      </c>
      <c r="B589" s="41" t="s">
        <v>2336</v>
      </c>
      <c r="C589" s="287">
        <v>2</v>
      </c>
      <c r="D589" s="288">
        <f t="shared" si="118"/>
        <v>0</v>
      </c>
      <c r="E589" s="287"/>
      <c r="F589" s="287"/>
      <c r="G589" s="287"/>
      <c r="H589" s="287"/>
      <c r="I589" s="302"/>
      <c r="J589" s="303">
        <f t="shared" si="119"/>
        <v>-100</v>
      </c>
      <c r="K589" s="294" t="s">
        <v>3555</v>
      </c>
      <c r="L589" s="44">
        <v>1</v>
      </c>
      <c r="M589" s="308" t="s">
        <v>2335</v>
      </c>
      <c r="N589" s="308"/>
      <c r="O589" s="308" t="s">
        <v>640</v>
      </c>
      <c r="P589" s="309" t="s">
        <v>3932</v>
      </c>
    </row>
    <row r="590" s="106" customFormat="1" ht="20.1" customHeight="1" spans="1:16">
      <c r="A590" s="279" t="s">
        <v>2337</v>
      </c>
      <c r="B590" s="41" t="s">
        <v>2338</v>
      </c>
      <c r="C590" s="287">
        <v>3</v>
      </c>
      <c r="D590" s="288">
        <f t="shared" si="118"/>
        <v>0</v>
      </c>
      <c r="E590" s="287"/>
      <c r="F590" s="287"/>
      <c r="G590" s="287"/>
      <c r="H590" s="287"/>
      <c r="I590" s="302"/>
      <c r="J590" s="303">
        <f t="shared" si="119"/>
        <v>-100</v>
      </c>
      <c r="K590" s="294" t="s">
        <v>3555</v>
      </c>
      <c r="L590" s="44">
        <v>1</v>
      </c>
      <c r="M590" s="308" t="s">
        <v>2337</v>
      </c>
      <c r="N590" s="308"/>
      <c r="O590" s="308" t="s">
        <v>640</v>
      </c>
      <c r="P590" s="309" t="s">
        <v>3933</v>
      </c>
    </row>
    <row r="591" s="106" customFormat="1" ht="20.1" customHeight="1" spans="1:17">
      <c r="A591" s="279" t="s">
        <v>2339</v>
      </c>
      <c r="B591" s="41" t="s">
        <v>2340</v>
      </c>
      <c r="C591" s="287"/>
      <c r="D591" s="288">
        <f t="shared" si="118"/>
        <v>0</v>
      </c>
      <c r="E591" s="287"/>
      <c r="F591" s="287"/>
      <c r="G591" s="287"/>
      <c r="H591" s="287"/>
      <c r="I591" s="302"/>
      <c r="J591" s="303"/>
      <c r="K591" s="294" t="s">
        <v>3555</v>
      </c>
      <c r="L591" s="44">
        <v>1</v>
      </c>
      <c r="M591" s="308" t="s">
        <v>3934</v>
      </c>
      <c r="N591" s="308"/>
      <c r="O591" s="308" t="s">
        <v>640</v>
      </c>
      <c r="P591" s="309" t="s">
        <v>3935</v>
      </c>
      <c r="Q591" s="321" t="s">
        <v>1785</v>
      </c>
    </row>
    <row r="592" s="106" customFormat="1" ht="20.1" customHeight="1" spans="1:16">
      <c r="A592" s="279" t="s">
        <v>2341</v>
      </c>
      <c r="B592" s="41" t="s">
        <v>2342</v>
      </c>
      <c r="C592" s="287">
        <v>493</v>
      </c>
      <c r="D592" s="288">
        <f t="shared" si="118"/>
        <v>109</v>
      </c>
      <c r="E592" s="287"/>
      <c r="F592" s="287"/>
      <c r="G592" s="287">
        <v>20</v>
      </c>
      <c r="H592" s="287"/>
      <c r="I592" s="302">
        <v>89</v>
      </c>
      <c r="J592" s="303">
        <f t="shared" ref="J592:J601" si="121">ROUND(IF(C592=0,IF(D592=0,0,1),IF(D592=0,-1,D592/C592)),4)*100</f>
        <v>22.11</v>
      </c>
      <c r="K592" s="294" t="s">
        <v>3555</v>
      </c>
      <c r="L592" s="44">
        <v>1</v>
      </c>
      <c r="M592" s="308" t="s">
        <v>2339</v>
      </c>
      <c r="N592" s="308"/>
      <c r="O592" s="308" t="s">
        <v>640</v>
      </c>
      <c r="P592" s="309" t="s">
        <v>3936</v>
      </c>
    </row>
    <row r="593" s="106" customFormat="1" ht="20.1" customHeight="1" spans="1:16">
      <c r="A593" s="283" t="s">
        <v>642</v>
      </c>
      <c r="B593" s="323" t="s">
        <v>2343</v>
      </c>
      <c r="C593" s="285">
        <f>SUM(C594)</f>
        <v>0</v>
      </c>
      <c r="D593" s="285">
        <f t="shared" si="118"/>
        <v>0</v>
      </c>
      <c r="E593" s="285">
        <f t="shared" ref="E593:H593" si="122">SUM(E594:E594)</f>
        <v>0</v>
      </c>
      <c r="F593" s="285">
        <f t="shared" si="122"/>
        <v>0</v>
      </c>
      <c r="G593" s="285">
        <f>VLOOKUP(A593,[1]√表四、2025年公共财政支出变动表!$A$8:$S$221,18,FALSE)</f>
        <v>0</v>
      </c>
      <c r="H593" s="285">
        <f t="shared" si="122"/>
        <v>0</v>
      </c>
      <c r="I593" s="285"/>
      <c r="J593" s="324">
        <f t="shared" si="121"/>
        <v>0</v>
      </c>
      <c r="K593" s="294" t="s">
        <v>3555</v>
      </c>
      <c r="L593" s="44">
        <v>1</v>
      </c>
      <c r="M593" s="308" t="s">
        <v>2341</v>
      </c>
      <c r="N593" s="308"/>
      <c r="O593" s="308" t="s">
        <v>640</v>
      </c>
      <c r="P593" s="309" t="s">
        <v>3937</v>
      </c>
    </row>
    <row r="594" s="107" customFormat="1" ht="20.1" customHeight="1" spans="1:16">
      <c r="A594" s="279" t="s">
        <v>2344</v>
      </c>
      <c r="B594" s="41" t="s">
        <v>2345</v>
      </c>
      <c r="C594" s="287"/>
      <c r="D594" s="288">
        <f t="shared" si="118"/>
        <v>0</v>
      </c>
      <c r="E594" s="287"/>
      <c r="F594" s="287"/>
      <c r="G594" s="287"/>
      <c r="H594" s="287"/>
      <c r="I594" s="302"/>
      <c r="J594" s="303">
        <f t="shared" si="121"/>
        <v>0</v>
      </c>
      <c r="K594" s="300" t="s">
        <v>3551</v>
      </c>
      <c r="L594" s="301"/>
      <c r="M594" s="312" t="s">
        <v>642</v>
      </c>
      <c r="N594" s="312" t="s">
        <v>636</v>
      </c>
      <c r="O594" s="312" t="s">
        <v>642</v>
      </c>
      <c r="P594" s="313" t="s">
        <v>3938</v>
      </c>
    </row>
    <row r="595" s="106" customFormat="1" ht="20.1" customHeight="1" spans="1:16">
      <c r="A595" s="283" t="s">
        <v>644</v>
      </c>
      <c r="B595" s="323" t="s">
        <v>2346</v>
      </c>
      <c r="C595" s="285">
        <f t="shared" ref="C595:I595" si="123">SUM(C596:C603)</f>
        <v>27985</v>
      </c>
      <c r="D595" s="285">
        <f t="shared" si="118"/>
        <v>33484</v>
      </c>
      <c r="E595" s="285">
        <f t="shared" si="123"/>
        <v>2633</v>
      </c>
      <c r="F595" s="285">
        <f t="shared" si="123"/>
        <v>0</v>
      </c>
      <c r="G595" s="285">
        <f t="shared" si="123"/>
        <v>0</v>
      </c>
      <c r="H595" s="285">
        <f t="shared" si="123"/>
        <v>9006</v>
      </c>
      <c r="I595" s="285">
        <f t="shared" si="123"/>
        <v>21845</v>
      </c>
      <c r="J595" s="324">
        <f t="shared" si="121"/>
        <v>119.65</v>
      </c>
      <c r="K595" s="294" t="s">
        <v>3555</v>
      </c>
      <c r="L595" s="44">
        <v>1</v>
      </c>
      <c r="M595" s="308" t="s">
        <v>2344</v>
      </c>
      <c r="N595" s="308"/>
      <c r="O595" s="308" t="s">
        <v>642</v>
      </c>
      <c r="P595" s="309" t="s">
        <v>3939</v>
      </c>
    </row>
    <row r="596" s="107" customFormat="1" ht="20.1" customHeight="1" spans="1:16">
      <c r="A596" s="279" t="s">
        <v>2347</v>
      </c>
      <c r="B596" s="41" t="s">
        <v>2348</v>
      </c>
      <c r="C596" s="287">
        <v>617</v>
      </c>
      <c r="D596" s="288">
        <f t="shared" si="118"/>
        <v>1856</v>
      </c>
      <c r="E596" s="287"/>
      <c r="F596" s="287"/>
      <c r="G596" s="287"/>
      <c r="H596" s="287"/>
      <c r="I596" s="302">
        <v>1856</v>
      </c>
      <c r="J596" s="303">
        <f t="shared" si="121"/>
        <v>300.81</v>
      </c>
      <c r="K596" s="300" t="s">
        <v>3551</v>
      </c>
      <c r="L596" s="301"/>
      <c r="M596" s="312" t="s">
        <v>644</v>
      </c>
      <c r="N596" s="312" t="s">
        <v>636</v>
      </c>
      <c r="O596" s="312" t="s">
        <v>644</v>
      </c>
      <c r="P596" s="313" t="s">
        <v>3940</v>
      </c>
    </row>
    <row r="597" s="106" customFormat="1" ht="20.1" customHeight="1" spans="1:16">
      <c r="A597" s="279" t="s">
        <v>2349</v>
      </c>
      <c r="B597" s="41" t="s">
        <v>2350</v>
      </c>
      <c r="C597" s="287">
        <v>1233</v>
      </c>
      <c r="D597" s="288">
        <f t="shared" si="118"/>
        <v>3971</v>
      </c>
      <c r="E597" s="287"/>
      <c r="F597" s="287"/>
      <c r="G597" s="287"/>
      <c r="H597" s="287"/>
      <c r="I597" s="302">
        <v>3971</v>
      </c>
      <c r="J597" s="303">
        <f t="shared" si="121"/>
        <v>322.06</v>
      </c>
      <c r="K597" s="294" t="s">
        <v>3555</v>
      </c>
      <c r="L597" s="44">
        <v>1</v>
      </c>
      <c r="M597" s="308" t="s">
        <v>2347</v>
      </c>
      <c r="N597" s="308"/>
      <c r="O597" s="308" t="s">
        <v>644</v>
      </c>
      <c r="P597" s="331" t="s">
        <v>3941</v>
      </c>
    </row>
    <row r="598" s="106" customFormat="1" ht="20.1" customHeight="1" spans="1:16">
      <c r="A598" s="279" t="s">
        <v>2351</v>
      </c>
      <c r="B598" s="41" t="s">
        <v>2352</v>
      </c>
      <c r="C598" s="287"/>
      <c r="D598" s="288">
        <f t="shared" si="118"/>
        <v>0</v>
      </c>
      <c r="E598" s="287"/>
      <c r="F598" s="287"/>
      <c r="G598" s="287"/>
      <c r="H598" s="287"/>
      <c r="I598" s="302"/>
      <c r="J598" s="303">
        <f t="shared" si="121"/>
        <v>0</v>
      </c>
      <c r="K598" s="294" t="s">
        <v>3555</v>
      </c>
      <c r="L598" s="44">
        <v>1</v>
      </c>
      <c r="M598" s="308" t="s">
        <v>2349</v>
      </c>
      <c r="N598" s="308"/>
      <c r="O598" s="308" t="s">
        <v>644</v>
      </c>
      <c r="P598" s="331" t="s">
        <v>3942</v>
      </c>
    </row>
    <row r="599" s="106" customFormat="1" ht="20.1" customHeight="1" spans="1:16">
      <c r="A599" s="279" t="s">
        <v>2353</v>
      </c>
      <c r="B599" s="41" t="s">
        <v>2354</v>
      </c>
      <c r="C599" s="287">
        <v>11196</v>
      </c>
      <c r="D599" s="288">
        <f t="shared" si="118"/>
        <v>12567</v>
      </c>
      <c r="E599" s="287"/>
      <c r="F599" s="287"/>
      <c r="G599" s="287"/>
      <c r="H599" s="287"/>
      <c r="I599" s="302">
        <v>12567</v>
      </c>
      <c r="J599" s="303">
        <f t="shared" si="121"/>
        <v>112.25</v>
      </c>
      <c r="K599" s="294" t="s">
        <v>3555</v>
      </c>
      <c r="L599" s="44">
        <v>1</v>
      </c>
      <c r="M599" s="308" t="s">
        <v>2351</v>
      </c>
      <c r="N599" s="308"/>
      <c r="O599" s="308" t="s">
        <v>644</v>
      </c>
      <c r="P599" s="331" t="s">
        <v>3943</v>
      </c>
    </row>
    <row r="600" s="106" customFormat="1" ht="20.1" customHeight="1" spans="1:16">
      <c r="A600" s="279" t="s">
        <v>2355</v>
      </c>
      <c r="B600" s="41" t="s">
        <v>2356</v>
      </c>
      <c r="C600" s="287">
        <v>6273</v>
      </c>
      <c r="D600" s="288">
        <f t="shared" si="118"/>
        <v>3451</v>
      </c>
      <c r="E600" s="287"/>
      <c r="F600" s="287"/>
      <c r="G600" s="287"/>
      <c r="H600" s="287"/>
      <c r="I600" s="302">
        <v>3451</v>
      </c>
      <c r="J600" s="303">
        <f t="shared" si="121"/>
        <v>55.01</v>
      </c>
      <c r="K600" s="294" t="s">
        <v>3555</v>
      </c>
      <c r="L600" s="44">
        <v>1</v>
      </c>
      <c r="M600" s="308" t="s">
        <v>2353</v>
      </c>
      <c r="N600" s="308"/>
      <c r="O600" s="308" t="s">
        <v>644</v>
      </c>
      <c r="P600" s="309" t="s">
        <v>3944</v>
      </c>
    </row>
    <row r="601" s="106" customFormat="1" ht="20.1" customHeight="1" spans="1:16">
      <c r="A601" s="279" t="s">
        <v>2357</v>
      </c>
      <c r="B601" s="41" t="s">
        <v>2358</v>
      </c>
      <c r="C601" s="287">
        <v>8666</v>
      </c>
      <c r="D601" s="288">
        <f t="shared" si="118"/>
        <v>11639</v>
      </c>
      <c r="E601" s="287">
        <v>2633</v>
      </c>
      <c r="F601" s="287"/>
      <c r="G601" s="287"/>
      <c r="H601" s="287">
        <v>9006</v>
      </c>
      <c r="I601" s="302"/>
      <c r="J601" s="303">
        <f t="shared" si="121"/>
        <v>134.31</v>
      </c>
      <c r="K601" s="294" t="s">
        <v>3555</v>
      </c>
      <c r="L601" s="44">
        <v>1</v>
      </c>
      <c r="M601" s="308" t="s">
        <v>2355</v>
      </c>
      <c r="N601" s="308"/>
      <c r="O601" s="308" t="s">
        <v>644</v>
      </c>
      <c r="P601" s="309" t="s">
        <v>3945</v>
      </c>
    </row>
    <row r="602" s="106" customFormat="1" ht="20.1" customHeight="1" spans="1:16">
      <c r="A602" s="279" t="s">
        <v>2359</v>
      </c>
      <c r="B602" s="41" t="s">
        <v>2360</v>
      </c>
      <c r="C602" s="287"/>
      <c r="D602" s="288">
        <f t="shared" si="118"/>
        <v>0</v>
      </c>
      <c r="E602" s="287"/>
      <c r="F602" s="287"/>
      <c r="G602" s="287"/>
      <c r="H602" s="287"/>
      <c r="I602" s="302"/>
      <c r="J602" s="303"/>
      <c r="K602" s="294" t="s">
        <v>3555</v>
      </c>
      <c r="L602" s="44">
        <v>1</v>
      </c>
      <c r="M602" s="308" t="s">
        <v>2357</v>
      </c>
      <c r="N602" s="308"/>
      <c r="O602" s="308" t="s">
        <v>644</v>
      </c>
      <c r="P602" s="309" t="s">
        <v>3946</v>
      </c>
    </row>
    <row r="603" s="106" customFormat="1" ht="20.1" customHeight="1" spans="1:16">
      <c r="A603" s="279" t="s">
        <v>2361</v>
      </c>
      <c r="B603" s="41" t="s">
        <v>2362</v>
      </c>
      <c r="C603" s="287"/>
      <c r="D603" s="288">
        <f t="shared" si="118"/>
        <v>0</v>
      </c>
      <c r="E603" s="287"/>
      <c r="F603" s="287"/>
      <c r="G603" s="287"/>
      <c r="H603" s="287"/>
      <c r="I603" s="302"/>
      <c r="J603" s="303">
        <f t="shared" ref="J603:J623" si="124">ROUND(IF(C603=0,IF(D603=0,0,1),IF(D603=0,-1,D603/C603)),4)*100</f>
        <v>0</v>
      </c>
      <c r="K603" s="294" t="s">
        <v>3555</v>
      </c>
      <c r="L603" s="44">
        <v>1</v>
      </c>
      <c r="M603" s="308" t="s">
        <v>2359</v>
      </c>
      <c r="N603" s="308"/>
      <c r="O603" s="308" t="s">
        <v>644</v>
      </c>
      <c r="P603" s="309" t="s">
        <v>3947</v>
      </c>
    </row>
    <row r="604" s="106" customFormat="1" ht="20.1" customHeight="1" spans="1:16">
      <c r="A604" s="283" t="s">
        <v>646</v>
      </c>
      <c r="B604" s="323" t="s">
        <v>2363</v>
      </c>
      <c r="C604" s="285">
        <v>0</v>
      </c>
      <c r="D604" s="285">
        <f t="shared" si="118"/>
        <v>0</v>
      </c>
      <c r="E604" s="285">
        <f t="shared" ref="E604:H604" si="125">SUM(E605:E607)</f>
        <v>0</v>
      </c>
      <c r="F604" s="285">
        <f t="shared" si="125"/>
        <v>0</v>
      </c>
      <c r="G604" s="285">
        <f>VLOOKUP(A604,[1]√表四、2025年公共财政支出变动表!$A$8:$S$221,18,FALSE)</f>
        <v>0</v>
      </c>
      <c r="H604" s="285">
        <f t="shared" si="125"/>
        <v>0</v>
      </c>
      <c r="I604" s="285"/>
      <c r="J604" s="324">
        <f t="shared" si="124"/>
        <v>0</v>
      </c>
      <c r="K604" s="294" t="s">
        <v>3555</v>
      </c>
      <c r="L604" s="44">
        <v>1</v>
      </c>
      <c r="M604" s="308" t="s">
        <v>2361</v>
      </c>
      <c r="N604" s="308"/>
      <c r="O604" s="308" t="s">
        <v>644</v>
      </c>
      <c r="P604" s="331" t="s">
        <v>3948</v>
      </c>
    </row>
    <row r="605" s="107" customFormat="1" ht="20.1" customHeight="1" spans="1:16">
      <c r="A605" s="279" t="s">
        <v>2364</v>
      </c>
      <c r="B605" s="41" t="s">
        <v>2365</v>
      </c>
      <c r="C605" s="287">
        <v>0</v>
      </c>
      <c r="D605" s="288">
        <f t="shared" si="118"/>
        <v>0</v>
      </c>
      <c r="E605" s="287"/>
      <c r="F605" s="287"/>
      <c r="G605" s="287"/>
      <c r="H605" s="287"/>
      <c r="I605" s="302"/>
      <c r="J605" s="303">
        <f t="shared" si="124"/>
        <v>0</v>
      </c>
      <c r="K605" s="300" t="s">
        <v>3551</v>
      </c>
      <c r="L605" s="301"/>
      <c r="M605" s="312" t="s">
        <v>646</v>
      </c>
      <c r="N605" s="312" t="s">
        <v>636</v>
      </c>
      <c r="O605" s="312" t="s">
        <v>646</v>
      </c>
      <c r="P605" s="313" t="s">
        <v>3949</v>
      </c>
    </row>
    <row r="606" s="106" customFormat="1" ht="20.1" customHeight="1" spans="1:16">
      <c r="A606" s="279" t="s">
        <v>2366</v>
      </c>
      <c r="B606" s="41" t="s">
        <v>2367</v>
      </c>
      <c r="C606" s="287">
        <v>0</v>
      </c>
      <c r="D606" s="288">
        <f t="shared" si="118"/>
        <v>0</v>
      </c>
      <c r="E606" s="287"/>
      <c r="F606" s="287"/>
      <c r="G606" s="287"/>
      <c r="H606" s="287"/>
      <c r="I606" s="302"/>
      <c r="J606" s="303">
        <f t="shared" si="124"/>
        <v>0</v>
      </c>
      <c r="K606" s="294" t="s">
        <v>3555</v>
      </c>
      <c r="L606" s="44">
        <v>1</v>
      </c>
      <c r="M606" s="308" t="s">
        <v>2364</v>
      </c>
      <c r="N606" s="308"/>
      <c r="O606" s="308" t="s">
        <v>646</v>
      </c>
      <c r="P606" s="309" t="s">
        <v>3950</v>
      </c>
    </row>
    <row r="607" s="106" customFormat="1" ht="20.1" customHeight="1" spans="1:16">
      <c r="A607" s="279" t="s">
        <v>2368</v>
      </c>
      <c r="B607" s="41" t="s">
        <v>2369</v>
      </c>
      <c r="C607" s="287">
        <v>0</v>
      </c>
      <c r="D607" s="288">
        <f t="shared" si="118"/>
        <v>0</v>
      </c>
      <c r="E607" s="287"/>
      <c r="F607" s="287"/>
      <c r="G607" s="287"/>
      <c r="H607" s="287"/>
      <c r="I607" s="302"/>
      <c r="J607" s="303">
        <f t="shared" si="124"/>
        <v>0</v>
      </c>
      <c r="K607" s="294" t="s">
        <v>3555</v>
      </c>
      <c r="L607" s="44">
        <v>1</v>
      </c>
      <c r="M607" s="308" t="s">
        <v>2366</v>
      </c>
      <c r="N607" s="308"/>
      <c r="O607" s="308" t="s">
        <v>646</v>
      </c>
      <c r="P607" s="309" t="s">
        <v>3951</v>
      </c>
    </row>
    <row r="608" s="106" customFormat="1" ht="20.1" customHeight="1" spans="1:16">
      <c r="A608" s="283" t="s">
        <v>648</v>
      </c>
      <c r="B608" s="323" t="s">
        <v>2370</v>
      </c>
      <c r="C608" s="285">
        <f t="shared" ref="C608:I608" si="126">SUM(C609:C617)</f>
        <v>2720</v>
      </c>
      <c r="D608" s="285">
        <f t="shared" si="118"/>
        <v>1970</v>
      </c>
      <c r="E608" s="285">
        <f t="shared" si="126"/>
        <v>1832</v>
      </c>
      <c r="F608" s="285">
        <f t="shared" si="126"/>
        <v>0</v>
      </c>
      <c r="G608" s="285">
        <f t="shared" si="126"/>
        <v>138</v>
      </c>
      <c r="H608" s="285">
        <f t="shared" si="126"/>
        <v>0</v>
      </c>
      <c r="I608" s="285">
        <f t="shared" si="126"/>
        <v>0</v>
      </c>
      <c r="J608" s="324">
        <f t="shared" si="124"/>
        <v>72.43</v>
      </c>
      <c r="K608" s="294" t="s">
        <v>3555</v>
      </c>
      <c r="L608" s="44">
        <v>1</v>
      </c>
      <c r="M608" s="308" t="s">
        <v>2368</v>
      </c>
      <c r="N608" s="308"/>
      <c r="O608" s="308" t="s">
        <v>646</v>
      </c>
      <c r="P608" s="309" t="s">
        <v>3952</v>
      </c>
    </row>
    <row r="609" s="107" customFormat="1" ht="20.1" customHeight="1" spans="1:16">
      <c r="A609" s="279" t="s">
        <v>2371</v>
      </c>
      <c r="B609" s="41" t="s">
        <v>2372</v>
      </c>
      <c r="C609" s="287"/>
      <c r="D609" s="288">
        <f t="shared" si="118"/>
        <v>0</v>
      </c>
      <c r="E609" s="287"/>
      <c r="F609" s="287"/>
      <c r="G609" s="287"/>
      <c r="H609" s="287"/>
      <c r="I609" s="302"/>
      <c r="J609" s="303">
        <f t="shared" si="124"/>
        <v>0</v>
      </c>
      <c r="K609" s="300" t="s">
        <v>3551</v>
      </c>
      <c r="L609" s="301"/>
      <c r="M609" s="312" t="s">
        <v>648</v>
      </c>
      <c r="N609" s="312" t="s">
        <v>636</v>
      </c>
      <c r="O609" s="312" t="s">
        <v>648</v>
      </c>
      <c r="P609" s="313" t="s">
        <v>3953</v>
      </c>
    </row>
    <row r="610" s="106" customFormat="1" ht="20.1" customHeight="1" spans="1:16">
      <c r="A610" s="279" t="s">
        <v>2373</v>
      </c>
      <c r="B610" s="41" t="s">
        <v>2374</v>
      </c>
      <c r="C610" s="287">
        <v>479</v>
      </c>
      <c r="D610" s="288">
        <f t="shared" si="118"/>
        <v>0</v>
      </c>
      <c r="E610" s="287"/>
      <c r="F610" s="287"/>
      <c r="G610" s="287"/>
      <c r="H610" s="287"/>
      <c r="I610" s="302"/>
      <c r="J610" s="303">
        <f t="shared" si="124"/>
        <v>-100</v>
      </c>
      <c r="K610" s="294" t="s">
        <v>3555</v>
      </c>
      <c r="L610" s="44">
        <v>1</v>
      </c>
      <c r="M610" s="308" t="s">
        <v>2371</v>
      </c>
      <c r="N610" s="308"/>
      <c r="O610" s="308" t="s">
        <v>648</v>
      </c>
      <c r="P610" s="309" t="s">
        <v>3954</v>
      </c>
    </row>
    <row r="611" s="106" customFormat="1" ht="20.1" customHeight="1" spans="1:16">
      <c r="A611" s="279" t="s">
        <v>2375</v>
      </c>
      <c r="B611" s="41" t="s">
        <v>2376</v>
      </c>
      <c r="C611" s="287">
        <v>288</v>
      </c>
      <c r="D611" s="288">
        <f t="shared" si="118"/>
        <v>290</v>
      </c>
      <c r="E611" s="287">
        <v>204</v>
      </c>
      <c r="F611" s="287"/>
      <c r="G611" s="287">
        <v>86</v>
      </c>
      <c r="H611" s="287"/>
      <c r="I611" s="302"/>
      <c r="J611" s="303">
        <f t="shared" si="124"/>
        <v>100.69</v>
      </c>
      <c r="K611" s="294" t="s">
        <v>3555</v>
      </c>
      <c r="L611" s="44">
        <v>1</v>
      </c>
      <c r="M611" s="308" t="s">
        <v>2373</v>
      </c>
      <c r="N611" s="308"/>
      <c r="O611" s="308" t="s">
        <v>648</v>
      </c>
      <c r="P611" s="309" t="s">
        <v>3955</v>
      </c>
    </row>
    <row r="612" s="106" customFormat="1" ht="20.1" customHeight="1" spans="1:16">
      <c r="A612" s="279" t="s">
        <v>2377</v>
      </c>
      <c r="B612" s="41" t="s">
        <v>2378</v>
      </c>
      <c r="C612" s="287">
        <v>1202</v>
      </c>
      <c r="D612" s="288">
        <f t="shared" si="118"/>
        <v>0</v>
      </c>
      <c r="E612" s="287"/>
      <c r="F612" s="287"/>
      <c r="G612" s="287"/>
      <c r="H612" s="287"/>
      <c r="I612" s="302"/>
      <c r="J612" s="303">
        <f t="shared" si="124"/>
        <v>-100</v>
      </c>
      <c r="K612" s="294" t="s">
        <v>3555</v>
      </c>
      <c r="L612" s="44">
        <v>1</v>
      </c>
      <c r="M612" s="308" t="s">
        <v>2375</v>
      </c>
      <c r="N612" s="308"/>
      <c r="O612" s="308" t="s">
        <v>648</v>
      </c>
      <c r="P612" s="309" t="s">
        <v>3956</v>
      </c>
    </row>
    <row r="613" s="106" customFormat="1" ht="20.1" customHeight="1" spans="1:16">
      <c r="A613" s="279" t="s">
        <v>2379</v>
      </c>
      <c r="B613" s="41" t="s">
        <v>2380</v>
      </c>
      <c r="C613" s="287"/>
      <c r="D613" s="288">
        <f t="shared" si="118"/>
        <v>0</v>
      </c>
      <c r="E613" s="287"/>
      <c r="F613" s="287"/>
      <c r="G613" s="287"/>
      <c r="H613" s="287"/>
      <c r="I613" s="302"/>
      <c r="J613" s="303">
        <f t="shared" si="124"/>
        <v>0</v>
      </c>
      <c r="K613" s="294" t="s">
        <v>3555</v>
      </c>
      <c r="L613" s="44">
        <v>1</v>
      </c>
      <c r="M613" s="308" t="s">
        <v>2377</v>
      </c>
      <c r="N613" s="308"/>
      <c r="O613" s="308" t="s">
        <v>648</v>
      </c>
      <c r="P613" s="309" t="s">
        <v>3957</v>
      </c>
    </row>
    <row r="614" s="106" customFormat="1" ht="20.1" customHeight="1" spans="1:16">
      <c r="A614" s="279" t="s">
        <v>2381</v>
      </c>
      <c r="B614" s="41" t="s">
        <v>2382</v>
      </c>
      <c r="C614" s="287"/>
      <c r="D614" s="288">
        <f t="shared" si="118"/>
        <v>0</v>
      </c>
      <c r="E614" s="287"/>
      <c r="F614" s="287"/>
      <c r="G614" s="287"/>
      <c r="H614" s="287"/>
      <c r="I614" s="302"/>
      <c r="J614" s="303">
        <f t="shared" si="124"/>
        <v>0</v>
      </c>
      <c r="K614" s="294" t="s">
        <v>3555</v>
      </c>
      <c r="L614" s="44">
        <v>1</v>
      </c>
      <c r="M614" s="308" t="s">
        <v>2379</v>
      </c>
      <c r="N614" s="308"/>
      <c r="O614" s="308" t="s">
        <v>648</v>
      </c>
      <c r="P614" s="309" t="s">
        <v>3958</v>
      </c>
    </row>
    <row r="615" s="106" customFormat="1" ht="20.1" customHeight="1" spans="1:16">
      <c r="A615" s="279" t="s">
        <v>2383</v>
      </c>
      <c r="B615" s="41" t="s">
        <v>2384</v>
      </c>
      <c r="C615" s="287"/>
      <c r="D615" s="288">
        <f t="shared" si="118"/>
        <v>0</v>
      </c>
      <c r="E615" s="287"/>
      <c r="F615" s="287"/>
      <c r="G615" s="287"/>
      <c r="H615" s="287"/>
      <c r="I615" s="302"/>
      <c r="J615" s="303">
        <f t="shared" si="124"/>
        <v>0</v>
      </c>
      <c r="K615" s="294" t="s">
        <v>3555</v>
      </c>
      <c r="L615" s="44">
        <v>1</v>
      </c>
      <c r="M615" s="308" t="s">
        <v>2381</v>
      </c>
      <c r="N615" s="308"/>
      <c r="O615" s="308" t="s">
        <v>648</v>
      </c>
      <c r="P615" s="309" t="s">
        <v>3959</v>
      </c>
    </row>
    <row r="616" s="106" customFormat="1" ht="20.1" customHeight="1" spans="1:16">
      <c r="A616" s="279" t="s">
        <v>2385</v>
      </c>
      <c r="B616" s="41" t="s">
        <v>2386</v>
      </c>
      <c r="C616" s="287"/>
      <c r="D616" s="288">
        <f t="shared" si="118"/>
        <v>0</v>
      </c>
      <c r="E616" s="287"/>
      <c r="F616" s="287"/>
      <c r="G616" s="287"/>
      <c r="H616" s="287"/>
      <c r="I616" s="302"/>
      <c r="J616" s="303">
        <f t="shared" si="124"/>
        <v>0</v>
      </c>
      <c r="K616" s="294" t="s">
        <v>3555</v>
      </c>
      <c r="L616" s="44">
        <v>1</v>
      </c>
      <c r="M616" s="308" t="s">
        <v>2383</v>
      </c>
      <c r="N616" s="308"/>
      <c r="O616" s="308" t="s">
        <v>648</v>
      </c>
      <c r="P616" s="309" t="s">
        <v>3960</v>
      </c>
    </row>
    <row r="617" s="106" customFormat="1" ht="20.1" customHeight="1" spans="1:16">
      <c r="A617" s="279" t="s">
        <v>2387</v>
      </c>
      <c r="B617" s="41" t="s">
        <v>2388</v>
      </c>
      <c r="C617" s="287">
        <v>751</v>
      </c>
      <c r="D617" s="288">
        <f t="shared" si="118"/>
        <v>1680</v>
      </c>
      <c r="E617" s="287">
        <v>1628</v>
      </c>
      <c r="F617" s="287"/>
      <c r="G617" s="287">
        <v>52</v>
      </c>
      <c r="H617" s="287"/>
      <c r="I617" s="302"/>
      <c r="J617" s="303">
        <f t="shared" si="124"/>
        <v>223.7</v>
      </c>
      <c r="K617" s="294" t="s">
        <v>3555</v>
      </c>
      <c r="L617" s="44">
        <v>1</v>
      </c>
      <c r="M617" s="308" t="s">
        <v>2385</v>
      </c>
      <c r="N617" s="308"/>
      <c r="O617" s="308" t="s">
        <v>648</v>
      </c>
      <c r="P617" s="309" t="s">
        <v>3961</v>
      </c>
    </row>
    <row r="618" s="106" customFormat="1" ht="20.1" customHeight="1" spans="1:16">
      <c r="A618" s="283" t="s">
        <v>650</v>
      </c>
      <c r="B618" s="323" t="s">
        <v>2389</v>
      </c>
      <c r="C618" s="285">
        <f t="shared" ref="C618:I618" si="127">SUM(C619:C626)</f>
        <v>2283</v>
      </c>
      <c r="D618" s="285">
        <f t="shared" si="118"/>
        <v>3161</v>
      </c>
      <c r="E618" s="285">
        <f t="shared" si="127"/>
        <v>1769</v>
      </c>
      <c r="F618" s="285">
        <f t="shared" si="127"/>
        <v>0</v>
      </c>
      <c r="G618" s="285">
        <f t="shared" si="127"/>
        <v>68</v>
      </c>
      <c r="H618" s="285">
        <f t="shared" si="127"/>
        <v>1000</v>
      </c>
      <c r="I618" s="285">
        <f t="shared" si="127"/>
        <v>324</v>
      </c>
      <c r="J618" s="324">
        <f t="shared" si="124"/>
        <v>138.46</v>
      </c>
      <c r="K618" s="294" t="s">
        <v>3555</v>
      </c>
      <c r="L618" s="44">
        <v>1</v>
      </c>
      <c r="M618" s="308" t="s">
        <v>2387</v>
      </c>
      <c r="N618" s="308"/>
      <c r="O618" s="308" t="s">
        <v>648</v>
      </c>
      <c r="P618" s="309" t="s">
        <v>3962</v>
      </c>
    </row>
    <row r="619" s="107" customFormat="1" ht="20.1" customHeight="1" spans="1:16">
      <c r="A619" s="279" t="s">
        <v>2390</v>
      </c>
      <c r="B619" s="41" t="s">
        <v>2391</v>
      </c>
      <c r="C619" s="287">
        <v>256</v>
      </c>
      <c r="D619" s="288">
        <f t="shared" si="118"/>
        <v>1001</v>
      </c>
      <c r="E619" s="287"/>
      <c r="F619" s="287"/>
      <c r="G619" s="287">
        <v>1</v>
      </c>
      <c r="H619" s="287">
        <v>1000</v>
      </c>
      <c r="I619" s="302"/>
      <c r="J619" s="303">
        <f t="shared" si="124"/>
        <v>391.02</v>
      </c>
      <c r="K619" s="300" t="s">
        <v>3551</v>
      </c>
      <c r="L619" s="301"/>
      <c r="M619" s="312" t="s">
        <v>650</v>
      </c>
      <c r="N619" s="312" t="s">
        <v>636</v>
      </c>
      <c r="O619" s="312" t="s">
        <v>650</v>
      </c>
      <c r="P619" s="313" t="s">
        <v>3963</v>
      </c>
    </row>
    <row r="620" s="106" customFormat="1" ht="20.1" customHeight="1" spans="1:16">
      <c r="A620" s="279" t="s">
        <v>2392</v>
      </c>
      <c r="B620" s="41" t="s">
        <v>2393</v>
      </c>
      <c r="C620" s="287">
        <v>204</v>
      </c>
      <c r="D620" s="288">
        <f t="shared" si="118"/>
        <v>27</v>
      </c>
      <c r="E620" s="287"/>
      <c r="F620" s="287"/>
      <c r="G620" s="287">
        <v>23</v>
      </c>
      <c r="H620" s="287"/>
      <c r="I620" s="302">
        <v>4</v>
      </c>
      <c r="J620" s="303">
        <f t="shared" si="124"/>
        <v>13.24</v>
      </c>
      <c r="K620" s="294" t="s">
        <v>3555</v>
      </c>
      <c r="L620" s="44">
        <v>1</v>
      </c>
      <c r="M620" s="308" t="s">
        <v>2390</v>
      </c>
      <c r="N620" s="308"/>
      <c r="O620" s="308" t="s">
        <v>650</v>
      </c>
      <c r="P620" s="309" t="s">
        <v>3964</v>
      </c>
    </row>
    <row r="621" s="106" customFormat="1" ht="20.1" customHeight="1" spans="1:16">
      <c r="A621" s="279" t="s">
        <v>2394</v>
      </c>
      <c r="B621" s="41" t="s">
        <v>2395</v>
      </c>
      <c r="C621" s="287">
        <v>1091</v>
      </c>
      <c r="D621" s="288">
        <f t="shared" si="118"/>
        <v>39</v>
      </c>
      <c r="E621" s="287"/>
      <c r="F621" s="287"/>
      <c r="G621" s="287">
        <v>5</v>
      </c>
      <c r="H621" s="287"/>
      <c r="I621" s="302">
        <v>34</v>
      </c>
      <c r="J621" s="303">
        <f t="shared" si="124"/>
        <v>3.57</v>
      </c>
      <c r="K621" s="294" t="s">
        <v>3555</v>
      </c>
      <c r="L621" s="44">
        <v>1</v>
      </c>
      <c r="M621" s="308" t="s">
        <v>2392</v>
      </c>
      <c r="N621" s="308"/>
      <c r="O621" s="308" t="s">
        <v>650</v>
      </c>
      <c r="P621" s="309" t="s">
        <v>3965</v>
      </c>
    </row>
    <row r="622" s="106" customFormat="1" ht="20.1" customHeight="1" spans="1:16">
      <c r="A622" s="279" t="s">
        <v>2396</v>
      </c>
      <c r="B622" s="41" t="s">
        <v>2397</v>
      </c>
      <c r="C622" s="287">
        <v>378</v>
      </c>
      <c r="D622" s="288">
        <f t="shared" si="118"/>
        <v>600</v>
      </c>
      <c r="E622" s="287">
        <v>297</v>
      </c>
      <c r="F622" s="287"/>
      <c r="G622" s="287">
        <v>31</v>
      </c>
      <c r="H622" s="287"/>
      <c r="I622" s="302">
        <v>272</v>
      </c>
      <c r="J622" s="303">
        <f t="shared" si="124"/>
        <v>158.73</v>
      </c>
      <c r="K622" s="294" t="s">
        <v>3555</v>
      </c>
      <c r="L622" s="44">
        <v>1</v>
      </c>
      <c r="M622" s="308" t="s">
        <v>2394</v>
      </c>
      <c r="N622" s="308"/>
      <c r="O622" s="308" t="s">
        <v>650</v>
      </c>
      <c r="P622" s="309" t="s">
        <v>3966</v>
      </c>
    </row>
    <row r="623" s="106" customFormat="1" ht="20.1" customHeight="1" spans="1:16">
      <c r="A623" s="279" t="s">
        <v>2398</v>
      </c>
      <c r="B623" s="41" t="s">
        <v>2399</v>
      </c>
      <c r="C623" s="287">
        <v>231</v>
      </c>
      <c r="D623" s="288">
        <f t="shared" si="118"/>
        <v>0</v>
      </c>
      <c r="E623" s="287"/>
      <c r="F623" s="287"/>
      <c r="G623" s="287"/>
      <c r="H623" s="287"/>
      <c r="I623" s="302"/>
      <c r="J623" s="303">
        <f t="shared" si="124"/>
        <v>-100</v>
      </c>
      <c r="K623" s="294" t="s">
        <v>3555</v>
      </c>
      <c r="L623" s="44">
        <v>1</v>
      </c>
      <c r="M623" s="308" t="s">
        <v>2396</v>
      </c>
      <c r="N623" s="308"/>
      <c r="O623" s="308" t="s">
        <v>650</v>
      </c>
      <c r="P623" s="309" t="s">
        <v>3967</v>
      </c>
    </row>
    <row r="624" s="106" customFormat="1" ht="20.1" customHeight="1" spans="1:16">
      <c r="A624" s="279" t="s">
        <v>2400</v>
      </c>
      <c r="B624" s="326" t="s">
        <v>2401</v>
      </c>
      <c r="C624" s="287"/>
      <c r="D624" s="288">
        <f t="shared" si="118"/>
        <v>0</v>
      </c>
      <c r="E624" s="287"/>
      <c r="F624" s="287"/>
      <c r="G624" s="287"/>
      <c r="H624" s="287"/>
      <c r="I624" s="302"/>
      <c r="J624" s="303"/>
      <c r="K624" s="294" t="s">
        <v>3555</v>
      </c>
      <c r="L624" s="44">
        <v>1</v>
      </c>
      <c r="M624" s="308" t="s">
        <v>2398</v>
      </c>
      <c r="N624" s="308"/>
      <c r="O624" s="308" t="s">
        <v>650</v>
      </c>
      <c r="P624" s="309" t="s">
        <v>3968</v>
      </c>
    </row>
    <row r="625" s="106" customFormat="1" ht="20.1" customHeight="1" spans="1:16">
      <c r="A625" s="327" t="s">
        <v>2402</v>
      </c>
      <c r="B625" s="328" t="s">
        <v>2403</v>
      </c>
      <c r="C625" s="287">
        <v>19</v>
      </c>
      <c r="D625" s="288">
        <f t="shared" si="118"/>
        <v>0</v>
      </c>
      <c r="E625" s="287"/>
      <c r="F625" s="287"/>
      <c r="G625" s="287"/>
      <c r="H625" s="287"/>
      <c r="I625" s="302"/>
      <c r="J625" s="303">
        <f t="shared" ref="J625:J639" si="128">ROUND(IF(C625=0,IF(D625=0,0,1),IF(D625=0,-1,D625/C625)),4)*100</f>
        <v>-100</v>
      </c>
      <c r="K625" s="294" t="s">
        <v>3555</v>
      </c>
      <c r="L625" s="44">
        <v>1</v>
      </c>
      <c r="M625" s="308" t="s">
        <v>2400</v>
      </c>
      <c r="N625" s="308"/>
      <c r="O625" s="308" t="s">
        <v>650</v>
      </c>
      <c r="P625" s="332" t="s">
        <v>3969</v>
      </c>
    </row>
    <row r="626" s="106" customFormat="1" ht="20.1" customHeight="1" spans="1:16">
      <c r="A626" s="279" t="s">
        <v>2404</v>
      </c>
      <c r="B626" s="41" t="s">
        <v>2405</v>
      </c>
      <c r="C626" s="287">
        <v>104</v>
      </c>
      <c r="D626" s="288">
        <f t="shared" si="118"/>
        <v>1494</v>
      </c>
      <c r="E626" s="287">
        <v>1472</v>
      </c>
      <c r="F626" s="287"/>
      <c r="G626" s="287">
        <v>8</v>
      </c>
      <c r="H626" s="287"/>
      <c r="I626" s="302">
        <v>14</v>
      </c>
      <c r="J626" s="303">
        <f t="shared" si="128"/>
        <v>1436.54</v>
      </c>
      <c r="K626" s="294" t="s">
        <v>3555</v>
      </c>
      <c r="L626" s="44">
        <v>1</v>
      </c>
      <c r="M626" s="308" t="s">
        <v>2398</v>
      </c>
      <c r="N626" s="308"/>
      <c r="O626" s="308" t="s">
        <v>650</v>
      </c>
      <c r="P626" s="333" t="s">
        <v>3970</v>
      </c>
    </row>
    <row r="627" s="106" customFormat="1" ht="20.1" customHeight="1" spans="1:16">
      <c r="A627" s="283" t="s">
        <v>652</v>
      </c>
      <c r="B627" s="323" t="s">
        <v>2406</v>
      </c>
      <c r="C627" s="285">
        <f t="shared" ref="C627:I627" si="129">SUM(C628:C633)</f>
        <v>233</v>
      </c>
      <c r="D627" s="285">
        <f t="shared" si="118"/>
        <v>304</v>
      </c>
      <c r="E627" s="285">
        <f t="shared" si="129"/>
        <v>163</v>
      </c>
      <c r="F627" s="285">
        <f t="shared" si="129"/>
        <v>0</v>
      </c>
      <c r="G627" s="285">
        <f t="shared" si="129"/>
        <v>57</v>
      </c>
      <c r="H627" s="285">
        <f t="shared" si="129"/>
        <v>0</v>
      </c>
      <c r="I627" s="285">
        <f t="shared" si="129"/>
        <v>84</v>
      </c>
      <c r="J627" s="324">
        <f t="shared" si="128"/>
        <v>130.47</v>
      </c>
      <c r="K627" s="294" t="s">
        <v>3555</v>
      </c>
      <c r="L627" s="44">
        <v>1</v>
      </c>
      <c r="M627" s="308" t="s">
        <v>2404</v>
      </c>
      <c r="N627" s="308"/>
      <c r="O627" s="308" t="s">
        <v>650</v>
      </c>
      <c r="P627" s="309" t="s">
        <v>3971</v>
      </c>
    </row>
    <row r="628" s="107" customFormat="1" ht="20.1" customHeight="1" spans="1:16">
      <c r="A628" s="279" t="s">
        <v>2407</v>
      </c>
      <c r="B628" s="41" t="s">
        <v>2408</v>
      </c>
      <c r="C628" s="287">
        <v>142</v>
      </c>
      <c r="D628" s="288">
        <f t="shared" si="118"/>
        <v>226</v>
      </c>
      <c r="E628" s="287">
        <v>125</v>
      </c>
      <c r="F628" s="287"/>
      <c r="G628" s="287">
        <v>39</v>
      </c>
      <c r="H628" s="287"/>
      <c r="I628" s="302">
        <v>62</v>
      </c>
      <c r="J628" s="303">
        <f t="shared" si="128"/>
        <v>159.15</v>
      </c>
      <c r="K628" s="300" t="s">
        <v>3551</v>
      </c>
      <c r="L628" s="301"/>
      <c r="M628" s="312" t="s">
        <v>652</v>
      </c>
      <c r="N628" s="312" t="s">
        <v>636</v>
      </c>
      <c r="O628" s="312" t="s">
        <v>652</v>
      </c>
      <c r="P628" s="313" t="s">
        <v>3972</v>
      </c>
    </row>
    <row r="629" s="266" customFormat="1" ht="20.1" customHeight="1" spans="1:16">
      <c r="A629" s="279" t="s">
        <v>2409</v>
      </c>
      <c r="B629" s="41" t="s">
        <v>2410</v>
      </c>
      <c r="C629" s="287">
        <v>12</v>
      </c>
      <c r="D629" s="288">
        <f t="shared" si="118"/>
        <v>3</v>
      </c>
      <c r="E629" s="287"/>
      <c r="F629" s="287"/>
      <c r="G629" s="287">
        <v>3</v>
      </c>
      <c r="H629" s="287"/>
      <c r="I629" s="302"/>
      <c r="J629" s="303">
        <f t="shared" si="128"/>
        <v>25</v>
      </c>
      <c r="K629" s="294" t="s">
        <v>3555</v>
      </c>
      <c r="L629" s="44">
        <v>1</v>
      </c>
      <c r="M629" s="308" t="s">
        <v>2407</v>
      </c>
      <c r="N629" s="308"/>
      <c r="O629" s="308" t="s">
        <v>652</v>
      </c>
      <c r="P629" s="309" t="s">
        <v>3973</v>
      </c>
    </row>
    <row r="630" s="266" customFormat="1" ht="20.1" customHeight="1" spans="1:16">
      <c r="A630" s="279" t="s">
        <v>2411</v>
      </c>
      <c r="B630" s="41" t="s">
        <v>2412</v>
      </c>
      <c r="C630" s="287">
        <v>3</v>
      </c>
      <c r="D630" s="288">
        <f t="shared" si="118"/>
        <v>6</v>
      </c>
      <c r="E630" s="287"/>
      <c r="F630" s="287"/>
      <c r="G630" s="287">
        <v>6</v>
      </c>
      <c r="H630" s="287"/>
      <c r="I630" s="302"/>
      <c r="J630" s="303">
        <f t="shared" si="128"/>
        <v>200</v>
      </c>
      <c r="K630" s="294" t="s">
        <v>3555</v>
      </c>
      <c r="L630" s="44">
        <v>1</v>
      </c>
      <c r="M630" s="308" t="s">
        <v>2409</v>
      </c>
      <c r="N630" s="308"/>
      <c r="O630" s="308" t="s">
        <v>652</v>
      </c>
      <c r="P630" s="309" t="s">
        <v>3974</v>
      </c>
    </row>
    <row r="631" s="106" customFormat="1" ht="20.1" customHeight="1" spans="1:16">
      <c r="A631" s="279" t="s">
        <v>2413</v>
      </c>
      <c r="B631" s="41" t="s">
        <v>2414</v>
      </c>
      <c r="C631" s="287">
        <v>55</v>
      </c>
      <c r="D631" s="288">
        <f t="shared" si="118"/>
        <v>2</v>
      </c>
      <c r="E631" s="287"/>
      <c r="F631" s="287"/>
      <c r="G631" s="287">
        <v>2</v>
      </c>
      <c r="H631" s="287"/>
      <c r="I631" s="302"/>
      <c r="J631" s="303">
        <f t="shared" si="128"/>
        <v>3.64</v>
      </c>
      <c r="K631" s="294" t="s">
        <v>3555</v>
      </c>
      <c r="L631" s="44">
        <v>1</v>
      </c>
      <c r="M631" s="308" t="s">
        <v>2411</v>
      </c>
      <c r="N631" s="308"/>
      <c r="O631" s="308" t="s">
        <v>652</v>
      </c>
      <c r="P631" s="309" t="s">
        <v>3975</v>
      </c>
    </row>
    <row r="632" s="106" customFormat="1" ht="20.1" customHeight="1" spans="1:16">
      <c r="A632" s="279" t="s">
        <v>2415</v>
      </c>
      <c r="B632" s="41" t="s">
        <v>2416</v>
      </c>
      <c r="C632" s="287">
        <v>18</v>
      </c>
      <c r="D632" s="288">
        <f t="shared" si="118"/>
        <v>24</v>
      </c>
      <c r="E632" s="287">
        <v>1</v>
      </c>
      <c r="F632" s="287"/>
      <c r="G632" s="287">
        <v>3</v>
      </c>
      <c r="H632" s="287"/>
      <c r="I632" s="302">
        <v>20</v>
      </c>
      <c r="J632" s="303">
        <f t="shared" si="128"/>
        <v>133.33</v>
      </c>
      <c r="K632" s="294" t="s">
        <v>3555</v>
      </c>
      <c r="L632" s="44">
        <v>1</v>
      </c>
      <c r="M632" s="308" t="s">
        <v>2413</v>
      </c>
      <c r="N632" s="308"/>
      <c r="O632" s="308" t="s">
        <v>652</v>
      </c>
      <c r="P632" s="309" t="s">
        <v>3976</v>
      </c>
    </row>
    <row r="633" s="106" customFormat="1" ht="20.1" customHeight="1" spans="1:16">
      <c r="A633" s="279" t="s">
        <v>2417</v>
      </c>
      <c r="B633" s="41" t="s">
        <v>2418</v>
      </c>
      <c r="C633" s="287">
        <v>3</v>
      </c>
      <c r="D633" s="288">
        <f t="shared" ref="D633:D696" si="130">SUM(E633:I633)</f>
        <v>43</v>
      </c>
      <c r="E633" s="287">
        <v>37</v>
      </c>
      <c r="F633" s="287"/>
      <c r="G633" s="287">
        <v>4</v>
      </c>
      <c r="H633" s="287"/>
      <c r="I633" s="302">
        <v>2</v>
      </c>
      <c r="J633" s="303">
        <f t="shared" si="128"/>
        <v>1433.33</v>
      </c>
      <c r="K633" s="294" t="s">
        <v>3555</v>
      </c>
      <c r="L633" s="44">
        <v>1</v>
      </c>
      <c r="M633" s="308" t="s">
        <v>2415</v>
      </c>
      <c r="N633" s="308"/>
      <c r="O633" s="308" t="s">
        <v>652</v>
      </c>
      <c r="P633" s="314" t="s">
        <v>3977</v>
      </c>
    </row>
    <row r="634" s="106" customFormat="1" ht="20.1" customHeight="1" spans="1:16">
      <c r="A634" s="283" t="s">
        <v>654</v>
      </c>
      <c r="B634" s="323" t="s">
        <v>2419</v>
      </c>
      <c r="C634" s="285">
        <f t="shared" ref="C634:I634" si="131">SUM(C635:C641)</f>
        <v>1329</v>
      </c>
      <c r="D634" s="285">
        <f t="shared" si="130"/>
        <v>1116</v>
      </c>
      <c r="E634" s="285">
        <f t="shared" si="131"/>
        <v>260</v>
      </c>
      <c r="F634" s="285">
        <f t="shared" si="131"/>
        <v>0</v>
      </c>
      <c r="G634" s="285">
        <f t="shared" si="131"/>
        <v>0</v>
      </c>
      <c r="H634" s="285">
        <f t="shared" si="131"/>
        <v>0</v>
      </c>
      <c r="I634" s="285">
        <f t="shared" si="131"/>
        <v>856</v>
      </c>
      <c r="J634" s="324">
        <f t="shared" si="128"/>
        <v>83.97</v>
      </c>
      <c r="K634" s="294" t="s">
        <v>3555</v>
      </c>
      <c r="L634" s="44">
        <v>1</v>
      </c>
      <c r="M634" s="308" t="s">
        <v>2417</v>
      </c>
      <c r="N634" s="308"/>
      <c r="O634" s="308" t="s">
        <v>652</v>
      </c>
      <c r="P634" s="309" t="s">
        <v>3978</v>
      </c>
    </row>
    <row r="635" s="107" customFormat="1" ht="20.1" customHeight="1" spans="1:16">
      <c r="A635" s="279" t="s">
        <v>2420</v>
      </c>
      <c r="B635" s="41" t="s">
        <v>2421</v>
      </c>
      <c r="C635" s="287">
        <v>123</v>
      </c>
      <c r="D635" s="288">
        <f t="shared" si="130"/>
        <v>18</v>
      </c>
      <c r="E635" s="287"/>
      <c r="F635" s="287"/>
      <c r="G635" s="287"/>
      <c r="H635" s="287"/>
      <c r="I635" s="302">
        <v>18</v>
      </c>
      <c r="J635" s="303">
        <f t="shared" si="128"/>
        <v>14.63</v>
      </c>
      <c r="K635" s="300" t="s">
        <v>3551</v>
      </c>
      <c r="L635" s="301"/>
      <c r="M635" s="312" t="s">
        <v>654</v>
      </c>
      <c r="N635" s="312" t="s">
        <v>636</v>
      </c>
      <c r="O635" s="312" t="s">
        <v>654</v>
      </c>
      <c r="P635" s="313" t="s">
        <v>3979</v>
      </c>
    </row>
    <row r="636" s="266" customFormat="1" ht="20.1" customHeight="1" spans="1:16">
      <c r="A636" s="279" t="s">
        <v>2422</v>
      </c>
      <c r="B636" s="41" t="s">
        <v>2423</v>
      </c>
      <c r="C636" s="287">
        <v>1200</v>
      </c>
      <c r="D636" s="288">
        <f t="shared" si="130"/>
        <v>838</v>
      </c>
      <c r="E636" s="287"/>
      <c r="F636" s="287"/>
      <c r="G636" s="287"/>
      <c r="H636" s="287"/>
      <c r="I636" s="302">
        <v>838</v>
      </c>
      <c r="J636" s="303">
        <f t="shared" si="128"/>
        <v>69.83</v>
      </c>
      <c r="K636" s="294" t="s">
        <v>3555</v>
      </c>
      <c r="L636" s="44">
        <v>1</v>
      </c>
      <c r="M636" s="308" t="s">
        <v>2420</v>
      </c>
      <c r="N636" s="308"/>
      <c r="O636" s="308" t="s">
        <v>654</v>
      </c>
      <c r="P636" s="309" t="s">
        <v>3980</v>
      </c>
    </row>
    <row r="637" s="266" customFormat="1" ht="20.1" customHeight="1" spans="1:16">
      <c r="A637" s="279" t="s">
        <v>2424</v>
      </c>
      <c r="B637" s="41" t="s">
        <v>2425</v>
      </c>
      <c r="C637" s="287"/>
      <c r="D637" s="288">
        <f t="shared" si="130"/>
        <v>0</v>
      </c>
      <c r="E637" s="287"/>
      <c r="F637" s="287"/>
      <c r="G637" s="287"/>
      <c r="H637" s="287"/>
      <c r="I637" s="302"/>
      <c r="J637" s="303">
        <f t="shared" si="128"/>
        <v>0</v>
      </c>
      <c r="K637" s="294" t="s">
        <v>3555</v>
      </c>
      <c r="L637" s="44">
        <v>1</v>
      </c>
      <c r="M637" s="308" t="s">
        <v>2422</v>
      </c>
      <c r="N637" s="308"/>
      <c r="O637" s="308" t="s">
        <v>654</v>
      </c>
      <c r="P637" s="309" t="s">
        <v>3981</v>
      </c>
    </row>
    <row r="638" s="266" customFormat="1" ht="20.1" customHeight="1" spans="1:16">
      <c r="A638" s="279" t="s">
        <v>2426</v>
      </c>
      <c r="B638" s="41" t="s">
        <v>2427</v>
      </c>
      <c r="C638" s="287"/>
      <c r="D638" s="288">
        <f t="shared" si="130"/>
        <v>0</v>
      </c>
      <c r="E638" s="287"/>
      <c r="F638" s="287"/>
      <c r="G638" s="287"/>
      <c r="H638" s="287"/>
      <c r="I638" s="302"/>
      <c r="J638" s="303">
        <f t="shared" si="128"/>
        <v>0</v>
      </c>
      <c r="K638" s="294" t="s">
        <v>3555</v>
      </c>
      <c r="L638" s="44">
        <v>1</v>
      </c>
      <c r="M638" s="308" t="s">
        <v>2424</v>
      </c>
      <c r="N638" s="308"/>
      <c r="O638" s="308" t="s">
        <v>654</v>
      </c>
      <c r="P638" s="331" t="s">
        <v>3982</v>
      </c>
    </row>
    <row r="639" s="106" customFormat="1" ht="20.1" customHeight="1" spans="1:16">
      <c r="A639" s="279" t="s">
        <v>2428</v>
      </c>
      <c r="B639" s="41" t="s">
        <v>2429</v>
      </c>
      <c r="C639" s="287"/>
      <c r="D639" s="288">
        <f t="shared" si="130"/>
        <v>0</v>
      </c>
      <c r="E639" s="287"/>
      <c r="F639" s="287"/>
      <c r="G639" s="287"/>
      <c r="H639" s="287"/>
      <c r="I639" s="302"/>
      <c r="J639" s="303">
        <f t="shared" si="128"/>
        <v>0</v>
      </c>
      <c r="K639" s="294" t="s">
        <v>3555</v>
      </c>
      <c r="L639" s="44">
        <v>1</v>
      </c>
      <c r="M639" s="308" t="s">
        <v>2426</v>
      </c>
      <c r="N639" s="308"/>
      <c r="O639" s="308" t="s">
        <v>654</v>
      </c>
      <c r="P639" s="331" t="s">
        <v>3983</v>
      </c>
    </row>
    <row r="640" s="106" customFormat="1" ht="20.1" customHeight="1" spans="1:16">
      <c r="A640" s="279" t="s">
        <v>2430</v>
      </c>
      <c r="B640" s="41" t="s">
        <v>2431</v>
      </c>
      <c r="C640" s="287">
        <v>4</v>
      </c>
      <c r="D640" s="288">
        <f t="shared" si="130"/>
        <v>258</v>
      </c>
      <c r="E640" s="287">
        <v>258</v>
      </c>
      <c r="F640" s="287"/>
      <c r="G640" s="287"/>
      <c r="H640" s="287"/>
      <c r="I640" s="302"/>
      <c r="J640" s="303"/>
      <c r="K640" s="294" t="s">
        <v>3555</v>
      </c>
      <c r="L640" s="44">
        <v>1</v>
      </c>
      <c r="M640" s="308" t="s">
        <v>2428</v>
      </c>
      <c r="N640" s="308"/>
      <c r="O640" s="308" t="s">
        <v>654</v>
      </c>
      <c r="P640" s="331" t="s">
        <v>3984</v>
      </c>
    </row>
    <row r="641" s="106" customFormat="1" ht="20.1" customHeight="1" spans="1:16">
      <c r="A641" s="279" t="s">
        <v>2432</v>
      </c>
      <c r="B641" s="41" t="s">
        <v>2433</v>
      </c>
      <c r="C641" s="287">
        <v>2</v>
      </c>
      <c r="D641" s="288">
        <f t="shared" si="130"/>
        <v>2</v>
      </c>
      <c r="E641" s="287">
        <v>2</v>
      </c>
      <c r="F641" s="287"/>
      <c r="G641" s="287"/>
      <c r="H641" s="287"/>
      <c r="I641" s="302"/>
      <c r="J641" s="303">
        <f t="shared" ref="J641:J654" si="132">ROUND(IF(C641=0,IF(D641=0,0,1),IF(D641=0,-1,D641/C641)),4)*100</f>
        <v>100</v>
      </c>
      <c r="K641" s="294" t="s">
        <v>3555</v>
      </c>
      <c r="L641" s="44">
        <v>1</v>
      </c>
      <c r="M641" s="308" t="s">
        <v>2430</v>
      </c>
      <c r="N641" s="308"/>
      <c r="O641" s="308" t="s">
        <v>654</v>
      </c>
      <c r="P641" s="331" t="s">
        <v>3985</v>
      </c>
    </row>
    <row r="642" s="106" customFormat="1" ht="20.1" customHeight="1" spans="1:16">
      <c r="A642" s="283" t="s">
        <v>656</v>
      </c>
      <c r="B642" s="323" t="s">
        <v>2434</v>
      </c>
      <c r="C642" s="285">
        <f t="shared" ref="C642:I642" si="133">SUM(C643:C650)</f>
        <v>1650</v>
      </c>
      <c r="D642" s="285">
        <f t="shared" si="130"/>
        <v>620</v>
      </c>
      <c r="E642" s="285">
        <f t="shared" si="133"/>
        <v>178</v>
      </c>
      <c r="F642" s="285">
        <f t="shared" si="133"/>
        <v>0</v>
      </c>
      <c r="G642" s="285">
        <f t="shared" si="133"/>
        <v>135</v>
      </c>
      <c r="H642" s="285">
        <f t="shared" si="133"/>
        <v>0</v>
      </c>
      <c r="I642" s="285">
        <f t="shared" si="133"/>
        <v>307</v>
      </c>
      <c r="J642" s="324">
        <f t="shared" si="132"/>
        <v>37.58</v>
      </c>
      <c r="K642" s="294" t="s">
        <v>3555</v>
      </c>
      <c r="L642" s="44">
        <v>1</v>
      </c>
      <c r="M642" s="308" t="s">
        <v>2432</v>
      </c>
      <c r="N642" s="308"/>
      <c r="O642" s="308" t="s">
        <v>654</v>
      </c>
      <c r="P642" s="309" t="s">
        <v>3986</v>
      </c>
    </row>
    <row r="643" s="107" customFormat="1" ht="20.1" customHeight="1" spans="1:16">
      <c r="A643" s="279" t="s">
        <v>2435</v>
      </c>
      <c r="B643" s="41" t="s">
        <v>1458</v>
      </c>
      <c r="C643" s="287">
        <v>105</v>
      </c>
      <c r="D643" s="288">
        <f t="shared" si="130"/>
        <v>102</v>
      </c>
      <c r="E643" s="287"/>
      <c r="F643" s="287"/>
      <c r="G643" s="287"/>
      <c r="H643" s="287"/>
      <c r="I643" s="302">
        <v>102</v>
      </c>
      <c r="J643" s="303">
        <f t="shared" si="132"/>
        <v>97.14</v>
      </c>
      <c r="K643" s="300" t="s">
        <v>3551</v>
      </c>
      <c r="L643" s="301"/>
      <c r="M643" s="312" t="s">
        <v>656</v>
      </c>
      <c r="N643" s="312" t="s">
        <v>636</v>
      </c>
      <c r="O643" s="312" t="s">
        <v>656</v>
      </c>
      <c r="P643" s="313" t="s">
        <v>3987</v>
      </c>
    </row>
    <row r="644" s="106" customFormat="1" ht="20.1" customHeight="1" spans="1:16">
      <c r="A644" s="279" t="s">
        <v>2436</v>
      </c>
      <c r="B644" s="41" t="s">
        <v>1460</v>
      </c>
      <c r="C644" s="287">
        <v>3</v>
      </c>
      <c r="D644" s="288">
        <f t="shared" si="130"/>
        <v>0</v>
      </c>
      <c r="E644" s="287"/>
      <c r="F644" s="287"/>
      <c r="G644" s="287"/>
      <c r="H644" s="287"/>
      <c r="I644" s="302"/>
      <c r="J644" s="303">
        <f t="shared" si="132"/>
        <v>-100</v>
      </c>
      <c r="K644" s="294" t="s">
        <v>3555</v>
      </c>
      <c r="L644" s="44">
        <v>1</v>
      </c>
      <c r="M644" s="308" t="s">
        <v>2435</v>
      </c>
      <c r="N644" s="308"/>
      <c r="O644" s="308" t="s">
        <v>656</v>
      </c>
      <c r="P644" s="314" t="s">
        <v>3556</v>
      </c>
    </row>
    <row r="645" s="106" customFormat="1" ht="20.1" customHeight="1" spans="1:16">
      <c r="A645" s="279" t="s">
        <v>2437</v>
      </c>
      <c r="B645" s="41" t="s">
        <v>1462</v>
      </c>
      <c r="C645" s="287"/>
      <c r="D645" s="288">
        <f t="shared" si="130"/>
        <v>1</v>
      </c>
      <c r="E645" s="287"/>
      <c r="F645" s="287"/>
      <c r="G645" s="287"/>
      <c r="H645" s="287"/>
      <c r="I645" s="302">
        <v>1</v>
      </c>
      <c r="J645" s="303">
        <f t="shared" si="132"/>
        <v>100</v>
      </c>
      <c r="K645" s="294" t="s">
        <v>3555</v>
      </c>
      <c r="L645" s="44">
        <v>1</v>
      </c>
      <c r="M645" s="308" t="s">
        <v>2436</v>
      </c>
      <c r="N645" s="308"/>
      <c r="O645" s="308" t="s">
        <v>656</v>
      </c>
      <c r="P645" s="314" t="s">
        <v>3557</v>
      </c>
    </row>
    <row r="646" s="106" customFormat="1" ht="20.1" customHeight="1" spans="1:16">
      <c r="A646" s="279" t="s">
        <v>2438</v>
      </c>
      <c r="B646" s="41" t="s">
        <v>2439</v>
      </c>
      <c r="C646" s="287">
        <v>271</v>
      </c>
      <c r="D646" s="288">
        <f t="shared" si="130"/>
        <v>133</v>
      </c>
      <c r="E646" s="287">
        <v>27</v>
      </c>
      <c r="F646" s="287"/>
      <c r="G646" s="287">
        <v>106</v>
      </c>
      <c r="H646" s="287"/>
      <c r="I646" s="302"/>
      <c r="J646" s="303">
        <f t="shared" si="132"/>
        <v>49.08</v>
      </c>
      <c r="K646" s="294" t="s">
        <v>3555</v>
      </c>
      <c r="L646" s="44">
        <v>1</v>
      </c>
      <c r="M646" s="308" t="s">
        <v>2437</v>
      </c>
      <c r="N646" s="308"/>
      <c r="O646" s="308" t="s">
        <v>656</v>
      </c>
      <c r="P646" s="314" t="s">
        <v>3558</v>
      </c>
    </row>
    <row r="647" s="106" customFormat="1" ht="20.1" customHeight="1" spans="1:16">
      <c r="A647" s="279" t="s">
        <v>2440</v>
      </c>
      <c r="B647" s="41" t="s">
        <v>2441</v>
      </c>
      <c r="C647" s="287">
        <v>118</v>
      </c>
      <c r="D647" s="288">
        <f t="shared" si="130"/>
        <v>69</v>
      </c>
      <c r="E647" s="287">
        <v>40</v>
      </c>
      <c r="F647" s="287"/>
      <c r="G647" s="287">
        <v>28</v>
      </c>
      <c r="H647" s="287"/>
      <c r="I647" s="302">
        <v>1</v>
      </c>
      <c r="J647" s="303">
        <f t="shared" si="132"/>
        <v>58.47</v>
      </c>
      <c r="K647" s="294" t="s">
        <v>3555</v>
      </c>
      <c r="L647" s="44">
        <v>1</v>
      </c>
      <c r="M647" s="308" t="s">
        <v>2438</v>
      </c>
      <c r="N647" s="308"/>
      <c r="O647" s="308" t="s">
        <v>656</v>
      </c>
      <c r="P647" s="309" t="s">
        <v>3988</v>
      </c>
    </row>
    <row r="648" s="106" customFormat="1" ht="20.1" customHeight="1" spans="1:16">
      <c r="A648" s="279" t="s">
        <v>2442</v>
      </c>
      <c r="B648" s="41" t="s">
        <v>2443</v>
      </c>
      <c r="C648" s="287"/>
      <c r="D648" s="288">
        <f t="shared" si="130"/>
        <v>0</v>
      </c>
      <c r="E648" s="287"/>
      <c r="F648" s="287"/>
      <c r="G648" s="287"/>
      <c r="H648" s="287"/>
      <c r="I648" s="302"/>
      <c r="J648" s="303">
        <f t="shared" si="132"/>
        <v>0</v>
      </c>
      <c r="K648" s="294" t="s">
        <v>3555</v>
      </c>
      <c r="L648" s="44">
        <v>1</v>
      </c>
      <c r="M648" s="308" t="s">
        <v>2440</v>
      </c>
      <c r="N648" s="308"/>
      <c r="O648" s="308" t="s">
        <v>656</v>
      </c>
      <c r="P648" s="309" t="s">
        <v>3989</v>
      </c>
    </row>
    <row r="649" s="106" customFormat="1" ht="20.1" customHeight="1" spans="1:16">
      <c r="A649" s="279" t="s">
        <v>2444</v>
      </c>
      <c r="B649" s="41" t="s">
        <v>2445</v>
      </c>
      <c r="C649" s="287">
        <v>1113</v>
      </c>
      <c r="D649" s="288">
        <f t="shared" si="130"/>
        <v>195</v>
      </c>
      <c r="E649" s="287"/>
      <c r="F649" s="287"/>
      <c r="G649" s="287">
        <v>1</v>
      </c>
      <c r="H649" s="287"/>
      <c r="I649" s="302">
        <v>194</v>
      </c>
      <c r="J649" s="303">
        <f t="shared" si="132"/>
        <v>17.52</v>
      </c>
      <c r="K649" s="294" t="s">
        <v>3555</v>
      </c>
      <c r="L649" s="44">
        <v>1</v>
      </c>
      <c r="M649" s="308" t="s">
        <v>2442</v>
      </c>
      <c r="N649" s="308"/>
      <c r="O649" s="308" t="s">
        <v>656</v>
      </c>
      <c r="P649" s="309" t="s">
        <v>3990</v>
      </c>
    </row>
    <row r="650" s="106" customFormat="1" ht="20.1" customHeight="1" spans="1:16">
      <c r="A650" s="279" t="s">
        <v>2446</v>
      </c>
      <c r="B650" s="41" t="s">
        <v>2447</v>
      </c>
      <c r="C650" s="287">
        <v>40</v>
      </c>
      <c r="D650" s="288">
        <f t="shared" si="130"/>
        <v>120</v>
      </c>
      <c r="E650" s="287">
        <v>111</v>
      </c>
      <c r="F650" s="287"/>
      <c r="G650" s="287"/>
      <c r="H650" s="287"/>
      <c r="I650" s="302">
        <v>9</v>
      </c>
      <c r="J650" s="303">
        <f t="shared" si="132"/>
        <v>300</v>
      </c>
      <c r="K650" s="294" t="s">
        <v>3555</v>
      </c>
      <c r="L650" s="44">
        <v>1</v>
      </c>
      <c r="M650" s="308" t="s">
        <v>2444</v>
      </c>
      <c r="N650" s="308"/>
      <c r="O650" s="308" t="s">
        <v>656</v>
      </c>
      <c r="P650" s="309" t="s">
        <v>3991</v>
      </c>
    </row>
    <row r="651" s="106" customFormat="1" ht="20.1" customHeight="1" spans="1:16">
      <c r="A651" s="283" t="s">
        <v>658</v>
      </c>
      <c r="B651" s="323" t="s">
        <v>2448</v>
      </c>
      <c r="C651" s="285">
        <f t="shared" ref="C651:I651" si="134">SUM(C652:C656)</f>
        <v>50</v>
      </c>
      <c r="D651" s="285">
        <f t="shared" si="130"/>
        <v>42</v>
      </c>
      <c r="E651" s="285">
        <f t="shared" si="134"/>
        <v>0</v>
      </c>
      <c r="F651" s="285">
        <f t="shared" si="134"/>
        <v>1</v>
      </c>
      <c r="G651" s="285">
        <f t="shared" si="134"/>
        <v>0</v>
      </c>
      <c r="H651" s="285">
        <f t="shared" si="134"/>
        <v>0</v>
      </c>
      <c r="I651" s="285">
        <f t="shared" si="134"/>
        <v>41</v>
      </c>
      <c r="J651" s="324">
        <f t="shared" si="132"/>
        <v>84</v>
      </c>
      <c r="K651" s="294" t="s">
        <v>3555</v>
      </c>
      <c r="L651" s="44">
        <v>1</v>
      </c>
      <c r="M651" s="308" t="s">
        <v>2446</v>
      </c>
      <c r="N651" s="308"/>
      <c r="O651" s="308" t="s">
        <v>656</v>
      </c>
      <c r="P651" s="309" t="s">
        <v>3992</v>
      </c>
    </row>
    <row r="652" s="107" customFormat="1" ht="20.1" customHeight="1" spans="1:16">
      <c r="A652" s="279" t="s">
        <v>2449</v>
      </c>
      <c r="B652" s="41" t="s">
        <v>1458</v>
      </c>
      <c r="C652" s="287">
        <v>49</v>
      </c>
      <c r="D652" s="288">
        <f t="shared" si="130"/>
        <v>41</v>
      </c>
      <c r="E652" s="287"/>
      <c r="F652" s="287"/>
      <c r="G652" s="287"/>
      <c r="H652" s="287"/>
      <c r="I652" s="302">
        <v>41</v>
      </c>
      <c r="J652" s="303">
        <f t="shared" si="132"/>
        <v>83.67</v>
      </c>
      <c r="K652" s="300" t="s">
        <v>3551</v>
      </c>
      <c r="L652" s="301"/>
      <c r="M652" s="312" t="s">
        <v>658</v>
      </c>
      <c r="N652" s="312" t="s">
        <v>636</v>
      </c>
      <c r="O652" s="312" t="s">
        <v>658</v>
      </c>
      <c r="P652" s="313" t="s">
        <v>3993</v>
      </c>
    </row>
    <row r="653" s="106" customFormat="1" ht="20.1" customHeight="1" spans="1:16">
      <c r="A653" s="279" t="s">
        <v>2450</v>
      </c>
      <c r="B653" s="41" t="s">
        <v>1460</v>
      </c>
      <c r="C653" s="287"/>
      <c r="D653" s="288">
        <f t="shared" si="130"/>
        <v>0</v>
      </c>
      <c r="E653" s="287"/>
      <c r="F653" s="287"/>
      <c r="G653" s="287"/>
      <c r="H653" s="287"/>
      <c r="I653" s="302"/>
      <c r="J653" s="303">
        <f t="shared" si="132"/>
        <v>0</v>
      </c>
      <c r="K653" s="294" t="s">
        <v>3555</v>
      </c>
      <c r="L653" s="44">
        <v>1</v>
      </c>
      <c r="M653" s="308" t="s">
        <v>2449</v>
      </c>
      <c r="N653" s="308"/>
      <c r="O653" s="308" t="s">
        <v>658</v>
      </c>
      <c r="P653" s="314" t="s">
        <v>3556</v>
      </c>
    </row>
    <row r="654" s="106" customFormat="1" ht="20.1" customHeight="1" spans="1:16">
      <c r="A654" s="279" t="s">
        <v>2451</v>
      </c>
      <c r="B654" s="41" t="s">
        <v>1462</v>
      </c>
      <c r="C654" s="287"/>
      <c r="D654" s="288">
        <f t="shared" si="130"/>
        <v>0</v>
      </c>
      <c r="E654" s="287"/>
      <c r="F654" s="287"/>
      <c r="G654" s="287"/>
      <c r="H654" s="287"/>
      <c r="I654" s="302"/>
      <c r="J654" s="303">
        <f t="shared" si="132"/>
        <v>0</v>
      </c>
      <c r="K654" s="294" t="s">
        <v>3555</v>
      </c>
      <c r="L654" s="44">
        <v>1</v>
      </c>
      <c r="M654" s="308" t="s">
        <v>2450</v>
      </c>
      <c r="N654" s="308"/>
      <c r="O654" s="308" t="s">
        <v>658</v>
      </c>
      <c r="P654" s="314" t="s">
        <v>3557</v>
      </c>
    </row>
    <row r="655" s="106" customFormat="1" ht="20.1" customHeight="1" spans="1:16">
      <c r="A655" s="279" t="s">
        <v>2452</v>
      </c>
      <c r="B655" s="41" t="s">
        <v>1476</v>
      </c>
      <c r="C655" s="287"/>
      <c r="D655" s="288">
        <f t="shared" si="130"/>
        <v>0</v>
      </c>
      <c r="E655" s="287"/>
      <c r="F655" s="287"/>
      <c r="G655" s="287"/>
      <c r="H655" s="287"/>
      <c r="I655" s="302"/>
      <c r="J655" s="303"/>
      <c r="K655" s="294" t="s">
        <v>3555</v>
      </c>
      <c r="L655" s="44">
        <v>1</v>
      </c>
      <c r="M655" s="308" t="s">
        <v>2451</v>
      </c>
      <c r="N655" s="308"/>
      <c r="O655" s="308" t="s">
        <v>658</v>
      </c>
      <c r="P655" s="314" t="s">
        <v>3558</v>
      </c>
    </row>
    <row r="656" s="106" customFormat="1" ht="20.1" customHeight="1" spans="1:16">
      <c r="A656" s="279" t="s">
        <v>2453</v>
      </c>
      <c r="B656" s="41" t="s">
        <v>2454</v>
      </c>
      <c r="C656" s="287">
        <v>1</v>
      </c>
      <c r="D656" s="288">
        <f t="shared" si="130"/>
        <v>1</v>
      </c>
      <c r="E656" s="287"/>
      <c r="F656" s="287">
        <v>1</v>
      </c>
      <c r="G656" s="287"/>
      <c r="H656" s="287"/>
      <c r="I656" s="302"/>
      <c r="J656" s="303">
        <f t="shared" ref="J656:J685" si="135">ROUND(IF(C656=0,IF(D656=0,0,1),IF(D656=0,-1,D656/C656)),4)*100</f>
        <v>100</v>
      </c>
      <c r="K656" s="294" t="s">
        <v>3555</v>
      </c>
      <c r="L656" s="44">
        <v>1</v>
      </c>
      <c r="M656" s="308" t="s">
        <v>2452</v>
      </c>
      <c r="N656" s="308"/>
      <c r="O656" s="308" t="s">
        <v>658</v>
      </c>
      <c r="P656" s="314" t="s">
        <v>3565</v>
      </c>
    </row>
    <row r="657" s="106" customFormat="1" ht="20.1" customHeight="1" spans="1:16">
      <c r="A657" s="283" t="s">
        <v>660</v>
      </c>
      <c r="B657" s="323" t="s">
        <v>2455</v>
      </c>
      <c r="C657" s="285">
        <f t="shared" ref="C657:I657" si="136">SUM(C658:C659)</f>
        <v>11123</v>
      </c>
      <c r="D657" s="285">
        <f t="shared" si="130"/>
        <v>12672</v>
      </c>
      <c r="E657" s="285">
        <f t="shared" si="136"/>
        <v>12671</v>
      </c>
      <c r="F657" s="285">
        <f t="shared" si="136"/>
        <v>0</v>
      </c>
      <c r="G657" s="285">
        <f t="shared" si="136"/>
        <v>1</v>
      </c>
      <c r="H657" s="285">
        <f t="shared" si="136"/>
        <v>0</v>
      </c>
      <c r="I657" s="285">
        <f t="shared" si="136"/>
        <v>0</v>
      </c>
      <c r="J657" s="324">
        <f t="shared" si="135"/>
        <v>113.93</v>
      </c>
      <c r="K657" s="294" t="s">
        <v>3555</v>
      </c>
      <c r="L657" s="44">
        <v>1</v>
      </c>
      <c r="M657" s="308" t="s">
        <v>2453</v>
      </c>
      <c r="N657" s="308"/>
      <c r="O657" s="308" t="s">
        <v>658</v>
      </c>
      <c r="P657" s="309" t="s">
        <v>3994</v>
      </c>
    </row>
    <row r="658" s="107" customFormat="1" ht="20.1" customHeight="1" spans="1:16">
      <c r="A658" s="279" t="s">
        <v>2456</v>
      </c>
      <c r="B658" s="41" t="s">
        <v>2457</v>
      </c>
      <c r="C658" s="287">
        <v>3391</v>
      </c>
      <c r="D658" s="288">
        <f t="shared" si="130"/>
        <v>3365</v>
      </c>
      <c r="E658" s="287">
        <v>3365</v>
      </c>
      <c r="F658" s="287"/>
      <c r="G658" s="287"/>
      <c r="H658" s="287"/>
      <c r="I658" s="302"/>
      <c r="J658" s="303">
        <f t="shared" si="135"/>
        <v>99.23</v>
      </c>
      <c r="K658" s="300" t="s">
        <v>3551</v>
      </c>
      <c r="L658" s="301"/>
      <c r="M658" s="312" t="s">
        <v>660</v>
      </c>
      <c r="N658" s="312" t="s">
        <v>636</v>
      </c>
      <c r="O658" s="312" t="s">
        <v>660</v>
      </c>
      <c r="P658" s="313" t="s">
        <v>3995</v>
      </c>
    </row>
    <row r="659" s="106" customFormat="1" ht="20.1" customHeight="1" spans="1:16">
      <c r="A659" s="279" t="s">
        <v>2458</v>
      </c>
      <c r="B659" s="41" t="s">
        <v>2459</v>
      </c>
      <c r="C659" s="287">
        <v>7732</v>
      </c>
      <c r="D659" s="288">
        <f t="shared" si="130"/>
        <v>9307</v>
      </c>
      <c r="E659" s="287">
        <v>9306</v>
      </c>
      <c r="F659" s="287"/>
      <c r="G659" s="287">
        <v>1</v>
      </c>
      <c r="H659" s="287"/>
      <c r="I659" s="302"/>
      <c r="J659" s="303">
        <f t="shared" si="135"/>
        <v>120.37</v>
      </c>
      <c r="K659" s="294" t="s">
        <v>3555</v>
      </c>
      <c r="L659" s="44">
        <v>1</v>
      </c>
      <c r="M659" s="308" t="s">
        <v>2456</v>
      </c>
      <c r="N659" s="308"/>
      <c r="O659" s="308" t="s">
        <v>660</v>
      </c>
      <c r="P659" s="309" t="s">
        <v>3996</v>
      </c>
    </row>
    <row r="660" s="106" customFormat="1" ht="20.1" customHeight="1" spans="1:16">
      <c r="A660" s="283" t="s">
        <v>662</v>
      </c>
      <c r="B660" s="323" t="s">
        <v>2460</v>
      </c>
      <c r="C660" s="285">
        <f t="shared" ref="C660:I660" si="137">SUM(C661:C662)</f>
        <v>153</v>
      </c>
      <c r="D660" s="285">
        <f t="shared" si="130"/>
        <v>16</v>
      </c>
      <c r="E660" s="285">
        <f t="shared" si="137"/>
        <v>0</v>
      </c>
      <c r="F660" s="285">
        <f t="shared" si="137"/>
        <v>0</v>
      </c>
      <c r="G660" s="285">
        <f t="shared" si="137"/>
        <v>16</v>
      </c>
      <c r="H660" s="285">
        <f t="shared" si="137"/>
        <v>0</v>
      </c>
      <c r="I660" s="285">
        <f t="shared" si="137"/>
        <v>0</v>
      </c>
      <c r="J660" s="324">
        <f t="shared" si="135"/>
        <v>10.46</v>
      </c>
      <c r="K660" s="294" t="s">
        <v>3555</v>
      </c>
      <c r="L660" s="44">
        <v>1</v>
      </c>
      <c r="M660" s="308" t="s">
        <v>2458</v>
      </c>
      <c r="N660" s="308"/>
      <c r="O660" s="308" t="s">
        <v>660</v>
      </c>
      <c r="P660" s="309" t="s">
        <v>3997</v>
      </c>
    </row>
    <row r="661" s="107" customFormat="1" ht="20.1" customHeight="1" spans="1:16">
      <c r="A661" s="279" t="s">
        <v>2461</v>
      </c>
      <c r="B661" s="41" t="s">
        <v>2462</v>
      </c>
      <c r="C661" s="287">
        <v>149</v>
      </c>
      <c r="D661" s="288">
        <f t="shared" si="130"/>
        <v>16</v>
      </c>
      <c r="E661" s="287"/>
      <c r="F661" s="287"/>
      <c r="G661" s="287">
        <v>16</v>
      </c>
      <c r="H661" s="287"/>
      <c r="I661" s="302"/>
      <c r="J661" s="303">
        <f t="shared" si="135"/>
        <v>10.74</v>
      </c>
      <c r="K661" s="300" t="s">
        <v>3551</v>
      </c>
      <c r="L661" s="301"/>
      <c r="M661" s="312" t="s">
        <v>662</v>
      </c>
      <c r="N661" s="312" t="s">
        <v>636</v>
      </c>
      <c r="O661" s="312" t="s">
        <v>662</v>
      </c>
      <c r="P661" s="313" t="s">
        <v>3998</v>
      </c>
    </row>
    <row r="662" s="106" customFormat="1" ht="20.1" customHeight="1" spans="1:16">
      <c r="A662" s="279" t="s">
        <v>2463</v>
      </c>
      <c r="B662" s="41" t="s">
        <v>2464</v>
      </c>
      <c r="C662" s="287">
        <v>4</v>
      </c>
      <c r="D662" s="288">
        <f t="shared" si="130"/>
        <v>0</v>
      </c>
      <c r="E662" s="287"/>
      <c r="F662" s="287"/>
      <c r="G662" s="287"/>
      <c r="H662" s="287"/>
      <c r="I662" s="302"/>
      <c r="J662" s="303">
        <f t="shared" si="135"/>
        <v>-100</v>
      </c>
      <c r="K662" s="294" t="s">
        <v>3555</v>
      </c>
      <c r="L662" s="44">
        <v>1</v>
      </c>
      <c r="M662" s="308" t="s">
        <v>2461</v>
      </c>
      <c r="N662" s="308"/>
      <c r="O662" s="308" t="s">
        <v>662</v>
      </c>
      <c r="P662" s="309" t="s">
        <v>3999</v>
      </c>
    </row>
    <row r="663" s="106" customFormat="1" ht="20.1" customHeight="1" spans="1:16">
      <c r="A663" s="283" t="s">
        <v>664</v>
      </c>
      <c r="B663" s="323" t="s">
        <v>2465</v>
      </c>
      <c r="C663" s="285">
        <f t="shared" ref="C663:I663" si="138">SUM(C664:C665)</f>
        <v>1790</v>
      </c>
      <c r="D663" s="285">
        <f t="shared" si="130"/>
        <v>0</v>
      </c>
      <c r="E663" s="285">
        <f t="shared" si="138"/>
        <v>0</v>
      </c>
      <c r="F663" s="285">
        <f t="shared" si="138"/>
        <v>0</v>
      </c>
      <c r="G663" s="285">
        <f t="shared" si="138"/>
        <v>0</v>
      </c>
      <c r="H663" s="285">
        <f t="shared" si="138"/>
        <v>0</v>
      </c>
      <c r="I663" s="285">
        <f t="shared" si="138"/>
        <v>0</v>
      </c>
      <c r="J663" s="324">
        <f t="shared" si="135"/>
        <v>-100</v>
      </c>
      <c r="K663" s="294" t="s">
        <v>3555</v>
      </c>
      <c r="L663" s="44">
        <v>1</v>
      </c>
      <c r="M663" s="308" t="s">
        <v>2463</v>
      </c>
      <c r="N663" s="308"/>
      <c r="O663" s="308" t="s">
        <v>662</v>
      </c>
      <c r="P663" s="309" t="s">
        <v>4000</v>
      </c>
    </row>
    <row r="664" s="107" customFormat="1" ht="20.1" customHeight="1" spans="1:16">
      <c r="A664" s="279" t="s">
        <v>2466</v>
      </c>
      <c r="B664" s="41" t="s">
        <v>2467</v>
      </c>
      <c r="C664" s="287">
        <v>367</v>
      </c>
      <c r="D664" s="288">
        <f t="shared" si="130"/>
        <v>0</v>
      </c>
      <c r="E664" s="287"/>
      <c r="F664" s="287"/>
      <c r="G664" s="287"/>
      <c r="H664" s="287"/>
      <c r="I664" s="302"/>
      <c r="J664" s="303">
        <f t="shared" si="135"/>
        <v>-100</v>
      </c>
      <c r="K664" s="300" t="s">
        <v>3551</v>
      </c>
      <c r="L664" s="301"/>
      <c r="M664" s="312" t="s">
        <v>664</v>
      </c>
      <c r="N664" s="312" t="s">
        <v>636</v>
      </c>
      <c r="O664" s="312" t="s">
        <v>664</v>
      </c>
      <c r="P664" s="313" t="s">
        <v>4001</v>
      </c>
    </row>
    <row r="665" s="106" customFormat="1" ht="20.1" customHeight="1" spans="1:16">
      <c r="A665" s="279" t="s">
        <v>2468</v>
      </c>
      <c r="B665" s="41" t="s">
        <v>2469</v>
      </c>
      <c r="C665" s="287">
        <v>1423</v>
      </c>
      <c r="D665" s="288">
        <f t="shared" si="130"/>
        <v>0</v>
      </c>
      <c r="E665" s="287"/>
      <c r="F665" s="287"/>
      <c r="G665" s="287"/>
      <c r="H665" s="287"/>
      <c r="I665" s="302"/>
      <c r="J665" s="303">
        <f t="shared" si="135"/>
        <v>-100</v>
      </c>
      <c r="K665" s="294" t="s">
        <v>3555</v>
      </c>
      <c r="L665" s="44">
        <v>1</v>
      </c>
      <c r="M665" s="308" t="s">
        <v>2466</v>
      </c>
      <c r="N665" s="308"/>
      <c r="O665" s="308" t="s">
        <v>664</v>
      </c>
      <c r="P665" s="309" t="s">
        <v>4002</v>
      </c>
    </row>
    <row r="666" s="106" customFormat="1" ht="20.1" customHeight="1" spans="1:16">
      <c r="A666" s="283" t="s">
        <v>666</v>
      </c>
      <c r="B666" s="323" t="s">
        <v>2470</v>
      </c>
      <c r="C666" s="285">
        <v>0</v>
      </c>
      <c r="D666" s="285">
        <f t="shared" si="130"/>
        <v>0</v>
      </c>
      <c r="E666" s="285">
        <f t="shared" ref="E666:H666" si="139">SUM(E667:E668)</f>
        <v>0</v>
      </c>
      <c r="F666" s="285">
        <f t="shared" si="139"/>
        <v>0</v>
      </c>
      <c r="G666" s="285">
        <f>VLOOKUP(A666,[1]√表四、2025年公共财政支出变动表!$A$8:$S$221,18,FALSE)</f>
        <v>0</v>
      </c>
      <c r="H666" s="285">
        <f t="shared" si="139"/>
        <v>0</v>
      </c>
      <c r="I666" s="285"/>
      <c r="J666" s="324">
        <f t="shared" si="135"/>
        <v>0</v>
      </c>
      <c r="K666" s="294" t="s">
        <v>3555</v>
      </c>
      <c r="L666" s="44">
        <v>1</v>
      </c>
      <c r="M666" s="308" t="s">
        <v>2468</v>
      </c>
      <c r="N666" s="308"/>
      <c r="O666" s="308" t="s">
        <v>664</v>
      </c>
      <c r="P666" s="309" t="s">
        <v>4003</v>
      </c>
    </row>
    <row r="667" s="107" customFormat="1" ht="20.1" customHeight="1" spans="1:16">
      <c r="A667" s="279" t="s">
        <v>2471</v>
      </c>
      <c r="B667" s="41" t="s">
        <v>2472</v>
      </c>
      <c r="C667" s="287">
        <v>0</v>
      </c>
      <c r="D667" s="288">
        <f t="shared" si="130"/>
        <v>0</v>
      </c>
      <c r="E667" s="287"/>
      <c r="F667" s="287"/>
      <c r="G667" s="287"/>
      <c r="H667" s="287"/>
      <c r="I667" s="302"/>
      <c r="J667" s="303">
        <f t="shared" si="135"/>
        <v>0</v>
      </c>
      <c r="K667" s="300" t="s">
        <v>3551</v>
      </c>
      <c r="L667" s="301"/>
      <c r="M667" s="312" t="s">
        <v>666</v>
      </c>
      <c r="N667" s="312" t="s">
        <v>636</v>
      </c>
      <c r="O667" s="312" t="s">
        <v>666</v>
      </c>
      <c r="P667" s="313" t="s">
        <v>4004</v>
      </c>
    </row>
    <row r="668" s="106" customFormat="1" ht="20.1" customHeight="1" spans="1:16">
      <c r="A668" s="279" t="s">
        <v>2473</v>
      </c>
      <c r="B668" s="41" t="s">
        <v>2474</v>
      </c>
      <c r="C668" s="287">
        <v>0</v>
      </c>
      <c r="D668" s="288">
        <f t="shared" si="130"/>
        <v>0</v>
      </c>
      <c r="E668" s="287"/>
      <c r="F668" s="287"/>
      <c r="G668" s="287"/>
      <c r="H668" s="287"/>
      <c r="I668" s="302"/>
      <c r="J668" s="303">
        <f t="shared" si="135"/>
        <v>0</v>
      </c>
      <c r="K668" s="294" t="s">
        <v>3555</v>
      </c>
      <c r="L668" s="44">
        <v>1</v>
      </c>
      <c r="M668" s="308" t="s">
        <v>2471</v>
      </c>
      <c r="N668" s="308"/>
      <c r="O668" s="308" t="s">
        <v>666</v>
      </c>
      <c r="P668" s="314" t="s">
        <v>4005</v>
      </c>
    </row>
    <row r="669" s="106" customFormat="1" ht="20.1" customHeight="1" spans="1:16">
      <c r="A669" s="283" t="s">
        <v>668</v>
      </c>
      <c r="B669" s="323" t="s">
        <v>2475</v>
      </c>
      <c r="C669" s="285">
        <f t="shared" ref="C669:I669" si="140">SUM(C670:C671)</f>
        <v>7</v>
      </c>
      <c r="D669" s="285">
        <f t="shared" si="130"/>
        <v>9</v>
      </c>
      <c r="E669" s="285">
        <f t="shared" si="140"/>
        <v>0</v>
      </c>
      <c r="F669" s="285">
        <f t="shared" si="140"/>
        <v>0</v>
      </c>
      <c r="G669" s="285">
        <f t="shared" si="140"/>
        <v>0</v>
      </c>
      <c r="H669" s="285">
        <f t="shared" si="140"/>
        <v>0</v>
      </c>
      <c r="I669" s="285">
        <f t="shared" si="140"/>
        <v>9</v>
      </c>
      <c r="J669" s="324">
        <f t="shared" si="135"/>
        <v>128.57</v>
      </c>
      <c r="K669" s="294" t="s">
        <v>3555</v>
      </c>
      <c r="L669" s="44">
        <v>1</v>
      </c>
      <c r="M669" s="308" t="s">
        <v>2473</v>
      </c>
      <c r="N669" s="308"/>
      <c r="O669" s="308" t="s">
        <v>666</v>
      </c>
      <c r="P669" s="309" t="s">
        <v>4006</v>
      </c>
    </row>
    <row r="670" s="107" customFormat="1" ht="20.1" customHeight="1" spans="1:16">
      <c r="A670" s="279" t="s">
        <v>2476</v>
      </c>
      <c r="B670" s="41" t="s">
        <v>2477</v>
      </c>
      <c r="C670" s="287">
        <v>7</v>
      </c>
      <c r="D670" s="288">
        <f t="shared" si="130"/>
        <v>9</v>
      </c>
      <c r="E670" s="287"/>
      <c r="F670" s="287"/>
      <c r="G670" s="287"/>
      <c r="H670" s="287"/>
      <c r="I670" s="302">
        <v>9</v>
      </c>
      <c r="J670" s="303">
        <f t="shared" si="135"/>
        <v>128.57</v>
      </c>
      <c r="K670" s="300" t="s">
        <v>3551</v>
      </c>
      <c r="L670" s="301"/>
      <c r="M670" s="312" t="s">
        <v>668</v>
      </c>
      <c r="N670" s="312" t="s">
        <v>636</v>
      </c>
      <c r="O670" s="312" t="s">
        <v>668</v>
      </c>
      <c r="P670" s="313" t="s">
        <v>4007</v>
      </c>
    </row>
    <row r="671" s="106" customFormat="1" ht="20.1" customHeight="1" spans="1:16">
      <c r="A671" s="279" t="s">
        <v>2478</v>
      </c>
      <c r="B671" s="41" t="s">
        <v>2479</v>
      </c>
      <c r="C671" s="287"/>
      <c r="D671" s="288">
        <f t="shared" si="130"/>
        <v>0</v>
      </c>
      <c r="E671" s="287"/>
      <c r="F671" s="287"/>
      <c r="G671" s="287"/>
      <c r="H671" s="287"/>
      <c r="I671" s="302"/>
      <c r="J671" s="303">
        <f t="shared" si="135"/>
        <v>0</v>
      </c>
      <c r="K671" s="294" t="s">
        <v>3555</v>
      </c>
      <c r="L671" s="44">
        <v>1</v>
      </c>
      <c r="M671" s="308" t="s">
        <v>2476</v>
      </c>
      <c r="N671" s="308"/>
      <c r="O671" s="308" t="s">
        <v>668</v>
      </c>
      <c r="P671" s="309" t="s">
        <v>4008</v>
      </c>
    </row>
    <row r="672" s="106" customFormat="1" ht="20.1" customHeight="1" spans="1:16">
      <c r="A672" s="283" t="s">
        <v>670</v>
      </c>
      <c r="B672" s="323" t="s">
        <v>2480</v>
      </c>
      <c r="C672" s="285">
        <f t="shared" ref="C672:I672" si="141">SUM(C673:C675)</f>
        <v>15568</v>
      </c>
      <c r="D672" s="285">
        <f t="shared" si="130"/>
        <v>13419</v>
      </c>
      <c r="E672" s="285">
        <f t="shared" si="141"/>
        <v>12233</v>
      </c>
      <c r="F672" s="285">
        <f t="shared" si="141"/>
        <v>0</v>
      </c>
      <c r="G672" s="285">
        <f t="shared" si="141"/>
        <v>0</v>
      </c>
      <c r="H672" s="285">
        <f t="shared" si="141"/>
        <v>1186</v>
      </c>
      <c r="I672" s="285">
        <f t="shared" si="141"/>
        <v>0</v>
      </c>
      <c r="J672" s="324">
        <f t="shared" si="135"/>
        <v>86.2</v>
      </c>
      <c r="K672" s="294" t="s">
        <v>3555</v>
      </c>
      <c r="L672" s="44">
        <v>1</v>
      </c>
      <c r="M672" s="308" t="s">
        <v>2478</v>
      </c>
      <c r="N672" s="308"/>
      <c r="O672" s="308" t="s">
        <v>668</v>
      </c>
      <c r="P672" s="309" t="s">
        <v>4009</v>
      </c>
    </row>
    <row r="673" s="107" customFormat="1" ht="20.1" customHeight="1" spans="1:16">
      <c r="A673" s="279" t="s">
        <v>2481</v>
      </c>
      <c r="B673" s="41" t="s">
        <v>2482</v>
      </c>
      <c r="C673" s="287"/>
      <c r="D673" s="288">
        <f t="shared" si="130"/>
        <v>0</v>
      </c>
      <c r="E673" s="287"/>
      <c r="F673" s="287"/>
      <c r="G673" s="287"/>
      <c r="H673" s="287"/>
      <c r="I673" s="302"/>
      <c r="J673" s="303">
        <f t="shared" si="135"/>
        <v>0</v>
      </c>
      <c r="K673" s="300" t="s">
        <v>3551</v>
      </c>
      <c r="L673" s="301"/>
      <c r="M673" s="312" t="s">
        <v>670</v>
      </c>
      <c r="N673" s="312" t="s">
        <v>636</v>
      </c>
      <c r="O673" s="312" t="s">
        <v>670</v>
      </c>
      <c r="P673" s="313" t="s">
        <v>4010</v>
      </c>
    </row>
    <row r="674" s="106" customFormat="1" ht="20.1" customHeight="1" spans="1:16">
      <c r="A674" s="279" t="s">
        <v>2483</v>
      </c>
      <c r="B674" s="41" t="s">
        <v>2484</v>
      </c>
      <c r="C674" s="287">
        <v>15568</v>
      </c>
      <c r="D674" s="288">
        <f t="shared" si="130"/>
        <v>13419</v>
      </c>
      <c r="E674" s="287">
        <v>12233</v>
      </c>
      <c r="F674" s="287"/>
      <c r="G674" s="287"/>
      <c r="H674" s="287">
        <v>1186</v>
      </c>
      <c r="I674" s="302"/>
      <c r="J674" s="303">
        <f t="shared" si="135"/>
        <v>86.2</v>
      </c>
      <c r="K674" s="294" t="s">
        <v>3555</v>
      </c>
      <c r="L674" s="44">
        <v>1</v>
      </c>
      <c r="M674" s="308" t="s">
        <v>2481</v>
      </c>
      <c r="N674" s="308"/>
      <c r="O674" s="308" t="s">
        <v>670</v>
      </c>
      <c r="P674" s="309" t="s">
        <v>4011</v>
      </c>
    </row>
    <row r="675" s="106" customFormat="1" ht="20.1" customHeight="1" spans="1:16">
      <c r="A675" s="279" t="s">
        <v>2485</v>
      </c>
      <c r="B675" s="41" t="s">
        <v>2486</v>
      </c>
      <c r="C675" s="287"/>
      <c r="D675" s="288">
        <f t="shared" si="130"/>
        <v>0</v>
      </c>
      <c r="E675" s="287"/>
      <c r="F675" s="287"/>
      <c r="G675" s="287"/>
      <c r="H675" s="287"/>
      <c r="I675" s="302"/>
      <c r="J675" s="303">
        <f t="shared" si="135"/>
        <v>0</v>
      </c>
      <c r="K675" s="294" t="s">
        <v>3555</v>
      </c>
      <c r="L675" s="44">
        <v>1</v>
      </c>
      <c r="M675" s="308" t="s">
        <v>2483</v>
      </c>
      <c r="N675" s="308"/>
      <c r="O675" s="308" t="s">
        <v>670</v>
      </c>
      <c r="P675" s="309" t="s">
        <v>4012</v>
      </c>
    </row>
    <row r="676" s="106" customFormat="1" ht="20.1" customHeight="1" spans="1:16">
      <c r="A676" s="283" t="s">
        <v>672</v>
      </c>
      <c r="B676" s="323" t="s">
        <v>2487</v>
      </c>
      <c r="C676" s="285">
        <f t="shared" ref="C676:F676" si="142">SUM(C677:C679)</f>
        <v>0</v>
      </c>
      <c r="D676" s="285">
        <f t="shared" si="130"/>
        <v>0</v>
      </c>
      <c r="E676" s="285">
        <f t="shared" si="142"/>
        <v>0</v>
      </c>
      <c r="F676" s="285">
        <f t="shared" si="142"/>
        <v>0</v>
      </c>
      <c r="G676" s="285">
        <f>VLOOKUP(A676,[1]√表四、2025年公共财政支出变动表!$A$8:$S$221,18,FALSE)</f>
        <v>0</v>
      </c>
      <c r="H676" s="285">
        <f>SUM(H677:H679)</f>
        <v>0</v>
      </c>
      <c r="I676" s="285"/>
      <c r="J676" s="324">
        <f t="shared" si="135"/>
        <v>0</v>
      </c>
      <c r="K676" s="294" t="s">
        <v>3555</v>
      </c>
      <c r="L676" s="44">
        <v>1</v>
      </c>
      <c r="M676" s="308" t="s">
        <v>2485</v>
      </c>
      <c r="N676" s="308"/>
      <c r="O676" s="308" t="s">
        <v>670</v>
      </c>
      <c r="P676" s="309" t="s">
        <v>4013</v>
      </c>
    </row>
    <row r="677" s="107" customFormat="1" ht="20.1" customHeight="1" spans="1:16">
      <c r="A677" s="279" t="s">
        <v>2488</v>
      </c>
      <c r="B677" s="41" t="s">
        <v>2489</v>
      </c>
      <c r="C677" s="287">
        <v>0</v>
      </c>
      <c r="D677" s="288">
        <f t="shared" si="130"/>
        <v>0</v>
      </c>
      <c r="E677" s="287"/>
      <c r="F677" s="287"/>
      <c r="G677" s="287"/>
      <c r="H677" s="287"/>
      <c r="I677" s="302"/>
      <c r="J677" s="303">
        <f t="shared" si="135"/>
        <v>0</v>
      </c>
      <c r="K677" s="300" t="s">
        <v>3551</v>
      </c>
      <c r="L677" s="301"/>
      <c r="M677" s="312" t="s">
        <v>672</v>
      </c>
      <c r="N677" s="312" t="s">
        <v>636</v>
      </c>
      <c r="O677" s="312" t="s">
        <v>672</v>
      </c>
      <c r="P677" s="313" t="s">
        <v>4014</v>
      </c>
    </row>
    <row r="678" s="106" customFormat="1" ht="20.1" customHeight="1" spans="1:16">
      <c r="A678" s="279" t="s">
        <v>2490</v>
      </c>
      <c r="B678" s="41" t="s">
        <v>2491</v>
      </c>
      <c r="C678" s="287">
        <v>0</v>
      </c>
      <c r="D678" s="288">
        <f t="shared" si="130"/>
        <v>0</v>
      </c>
      <c r="E678" s="287"/>
      <c r="F678" s="287"/>
      <c r="G678" s="287"/>
      <c r="H678" s="287"/>
      <c r="I678" s="302"/>
      <c r="J678" s="303">
        <f t="shared" si="135"/>
        <v>0</v>
      </c>
      <c r="K678" s="294" t="s">
        <v>3555</v>
      </c>
      <c r="L678" s="44">
        <v>1</v>
      </c>
      <c r="M678" s="308" t="s">
        <v>2488</v>
      </c>
      <c r="N678" s="308"/>
      <c r="O678" s="308" t="s">
        <v>672</v>
      </c>
      <c r="P678" s="309" t="s">
        <v>4015</v>
      </c>
    </row>
    <row r="679" s="106" customFormat="1" ht="20.1" customHeight="1" spans="1:16">
      <c r="A679" s="279" t="s">
        <v>2492</v>
      </c>
      <c r="B679" s="41" t="s">
        <v>2493</v>
      </c>
      <c r="C679" s="287">
        <v>0</v>
      </c>
      <c r="D679" s="288">
        <f t="shared" si="130"/>
        <v>0</v>
      </c>
      <c r="E679" s="287"/>
      <c r="F679" s="287"/>
      <c r="G679" s="287"/>
      <c r="H679" s="287"/>
      <c r="I679" s="302"/>
      <c r="J679" s="303">
        <f t="shared" si="135"/>
        <v>0</v>
      </c>
      <c r="K679" s="294" t="s">
        <v>3555</v>
      </c>
      <c r="L679" s="44">
        <v>1</v>
      </c>
      <c r="M679" s="308" t="s">
        <v>2490</v>
      </c>
      <c r="N679" s="308"/>
      <c r="O679" s="308" t="s">
        <v>672</v>
      </c>
      <c r="P679" s="309" t="s">
        <v>4016</v>
      </c>
    </row>
    <row r="680" s="106" customFormat="1" ht="20.1" customHeight="1" spans="1:16">
      <c r="A680" s="283" t="s">
        <v>674</v>
      </c>
      <c r="B680" s="323" t="s">
        <v>2494</v>
      </c>
      <c r="C680" s="285">
        <f t="shared" ref="C680:I680" si="143">SUM(C681:C688)</f>
        <v>207</v>
      </c>
      <c r="D680" s="285">
        <f t="shared" si="130"/>
        <v>205</v>
      </c>
      <c r="E680" s="285">
        <f t="shared" si="143"/>
        <v>0</v>
      </c>
      <c r="F680" s="285">
        <f t="shared" si="143"/>
        <v>0</v>
      </c>
      <c r="G680" s="285">
        <f t="shared" si="143"/>
        <v>0</v>
      </c>
      <c r="H680" s="285">
        <f t="shared" si="143"/>
        <v>0</v>
      </c>
      <c r="I680" s="285">
        <f t="shared" si="143"/>
        <v>205</v>
      </c>
      <c r="J680" s="324">
        <f t="shared" si="135"/>
        <v>99.03</v>
      </c>
      <c r="K680" s="294" t="s">
        <v>3555</v>
      </c>
      <c r="L680" s="44">
        <v>1</v>
      </c>
      <c r="M680" s="308" t="s">
        <v>2492</v>
      </c>
      <c r="N680" s="308"/>
      <c r="O680" s="308" t="s">
        <v>672</v>
      </c>
      <c r="P680" s="309" t="s">
        <v>4017</v>
      </c>
    </row>
    <row r="681" s="107" customFormat="1" ht="20.1" customHeight="1" spans="1:16">
      <c r="A681" s="279" t="s">
        <v>2495</v>
      </c>
      <c r="B681" s="334" t="s">
        <v>1458</v>
      </c>
      <c r="C681" s="287">
        <v>129</v>
      </c>
      <c r="D681" s="288">
        <f t="shared" si="130"/>
        <v>127</v>
      </c>
      <c r="E681" s="287"/>
      <c r="F681" s="287"/>
      <c r="G681" s="287"/>
      <c r="H681" s="287"/>
      <c r="I681" s="302">
        <v>127</v>
      </c>
      <c r="J681" s="303">
        <f t="shared" si="135"/>
        <v>98.45</v>
      </c>
      <c r="K681" s="300" t="s">
        <v>3551</v>
      </c>
      <c r="L681" s="301"/>
      <c r="M681" s="312" t="s">
        <v>674</v>
      </c>
      <c r="N681" s="312" t="s">
        <v>636</v>
      </c>
      <c r="O681" s="312" t="s">
        <v>674</v>
      </c>
      <c r="P681" s="313" t="s">
        <v>4018</v>
      </c>
    </row>
    <row r="682" s="106" customFormat="1" ht="20.1" customHeight="1" spans="1:16">
      <c r="A682" s="279" t="s">
        <v>2496</v>
      </c>
      <c r="B682" s="334" t="s">
        <v>1460</v>
      </c>
      <c r="C682" s="287"/>
      <c r="D682" s="288">
        <f t="shared" si="130"/>
        <v>0</v>
      </c>
      <c r="E682" s="287"/>
      <c r="F682" s="287"/>
      <c r="G682" s="287"/>
      <c r="H682" s="287"/>
      <c r="I682" s="302"/>
      <c r="J682" s="303">
        <f t="shared" si="135"/>
        <v>0</v>
      </c>
      <c r="K682" s="294" t="s">
        <v>3555</v>
      </c>
      <c r="L682" s="44">
        <v>1</v>
      </c>
      <c r="M682" s="308" t="s">
        <v>2495</v>
      </c>
      <c r="N682" s="308"/>
      <c r="O682" s="308" t="s">
        <v>674</v>
      </c>
      <c r="P682" s="314" t="s">
        <v>3556</v>
      </c>
    </row>
    <row r="683" s="266" customFormat="1" ht="20.1" customHeight="1" spans="1:16">
      <c r="A683" s="279" t="s">
        <v>2497</v>
      </c>
      <c r="B683" s="334" t="s">
        <v>1462</v>
      </c>
      <c r="C683" s="287"/>
      <c r="D683" s="288">
        <f t="shared" si="130"/>
        <v>0</v>
      </c>
      <c r="E683" s="287"/>
      <c r="F683" s="287"/>
      <c r="G683" s="287"/>
      <c r="H683" s="287"/>
      <c r="I683" s="302"/>
      <c r="J683" s="303">
        <f t="shared" si="135"/>
        <v>0</v>
      </c>
      <c r="K683" s="294" t="s">
        <v>3555</v>
      </c>
      <c r="L683" s="44">
        <v>1</v>
      </c>
      <c r="M683" s="308" t="s">
        <v>2496</v>
      </c>
      <c r="N683" s="308"/>
      <c r="O683" s="308" t="s">
        <v>674</v>
      </c>
      <c r="P683" s="314" t="s">
        <v>3557</v>
      </c>
    </row>
    <row r="684" s="106" customFormat="1" ht="20.1" customHeight="1" spans="1:16">
      <c r="A684" s="279" t="s">
        <v>2498</v>
      </c>
      <c r="B684" s="334" t="s">
        <v>2499</v>
      </c>
      <c r="C684" s="287">
        <v>38</v>
      </c>
      <c r="D684" s="288">
        <f t="shared" si="130"/>
        <v>57</v>
      </c>
      <c r="E684" s="287"/>
      <c r="F684" s="287"/>
      <c r="G684" s="287"/>
      <c r="H684" s="287"/>
      <c r="I684" s="302">
        <v>57</v>
      </c>
      <c r="J684" s="303">
        <f t="shared" si="135"/>
        <v>150</v>
      </c>
      <c r="K684" s="294" t="s">
        <v>3555</v>
      </c>
      <c r="L684" s="44">
        <v>1</v>
      </c>
      <c r="M684" s="308" t="s">
        <v>2497</v>
      </c>
      <c r="N684" s="308"/>
      <c r="O684" s="308" t="s">
        <v>674</v>
      </c>
      <c r="P684" s="314" t="s">
        <v>3558</v>
      </c>
    </row>
    <row r="685" s="106" customFormat="1" ht="20.1" customHeight="1" spans="1:16">
      <c r="A685" s="279" t="s">
        <v>2500</v>
      </c>
      <c r="B685" s="334" t="s">
        <v>2501</v>
      </c>
      <c r="C685" s="287"/>
      <c r="D685" s="288">
        <f t="shared" si="130"/>
        <v>0</v>
      </c>
      <c r="E685" s="287"/>
      <c r="F685" s="287"/>
      <c r="G685" s="287"/>
      <c r="H685" s="287"/>
      <c r="I685" s="302"/>
      <c r="J685" s="303">
        <f t="shared" si="135"/>
        <v>0</v>
      </c>
      <c r="K685" s="294" t="s">
        <v>3555</v>
      </c>
      <c r="L685" s="44">
        <v>1</v>
      </c>
      <c r="M685" s="308" t="s">
        <v>2498</v>
      </c>
      <c r="N685" s="308"/>
      <c r="O685" s="308" t="s">
        <v>674</v>
      </c>
      <c r="P685" s="314" t="s">
        <v>4019</v>
      </c>
    </row>
    <row r="686" s="106" customFormat="1" ht="20.1" customHeight="1" spans="1:16">
      <c r="A686" s="279" t="s">
        <v>2502</v>
      </c>
      <c r="B686" s="334" t="s">
        <v>1553</v>
      </c>
      <c r="C686" s="287">
        <v>5</v>
      </c>
      <c r="D686" s="288">
        <f t="shared" si="130"/>
        <v>0</v>
      </c>
      <c r="E686" s="287"/>
      <c r="F686" s="287"/>
      <c r="G686" s="287"/>
      <c r="H686" s="287"/>
      <c r="I686" s="302"/>
      <c r="J686" s="303"/>
      <c r="K686" s="294" t="s">
        <v>3555</v>
      </c>
      <c r="L686" s="44">
        <v>1</v>
      </c>
      <c r="M686" s="308" t="s">
        <v>2500</v>
      </c>
      <c r="N686" s="308"/>
      <c r="O686" s="308" t="s">
        <v>674</v>
      </c>
      <c r="P686" s="314" t="s">
        <v>4020</v>
      </c>
    </row>
    <row r="687" s="106" customFormat="1" ht="20.1" customHeight="1" spans="1:16">
      <c r="A687" s="279" t="s">
        <v>2503</v>
      </c>
      <c r="B687" s="334" t="s">
        <v>1476</v>
      </c>
      <c r="C687" s="287">
        <v>15</v>
      </c>
      <c r="D687" s="288">
        <f t="shared" si="130"/>
        <v>6</v>
      </c>
      <c r="E687" s="287"/>
      <c r="F687" s="287"/>
      <c r="G687" s="287"/>
      <c r="H687" s="287"/>
      <c r="I687" s="302">
        <v>6</v>
      </c>
      <c r="J687" s="303">
        <f t="shared" ref="J687:J711" si="144">ROUND(IF(C687=0,IF(D687=0,0,1),IF(D687=0,-1,D687/C687)),4)*100</f>
        <v>40</v>
      </c>
      <c r="K687" s="294" t="s">
        <v>3555</v>
      </c>
      <c r="L687" s="44">
        <v>1</v>
      </c>
      <c r="M687" s="308" t="s">
        <v>2502</v>
      </c>
      <c r="N687" s="308"/>
      <c r="O687" s="308" t="s">
        <v>674</v>
      </c>
      <c r="P687" s="314" t="s">
        <v>3596</v>
      </c>
    </row>
    <row r="688" s="106" customFormat="1" ht="20.1" customHeight="1" spans="1:16">
      <c r="A688" s="279" t="s">
        <v>2504</v>
      </c>
      <c r="B688" s="334" t="s">
        <v>2505</v>
      </c>
      <c r="C688" s="287">
        <v>20</v>
      </c>
      <c r="D688" s="288">
        <f t="shared" si="130"/>
        <v>15</v>
      </c>
      <c r="E688" s="287"/>
      <c r="F688" s="287"/>
      <c r="G688" s="287"/>
      <c r="H688" s="287"/>
      <c r="I688" s="302">
        <v>15</v>
      </c>
      <c r="J688" s="303">
        <f t="shared" si="144"/>
        <v>75</v>
      </c>
      <c r="K688" s="294" t="s">
        <v>3555</v>
      </c>
      <c r="L688" s="44">
        <v>1</v>
      </c>
      <c r="M688" s="308" t="s">
        <v>2503</v>
      </c>
      <c r="N688" s="308"/>
      <c r="O688" s="308" t="s">
        <v>674</v>
      </c>
      <c r="P688" s="314" t="s">
        <v>3565</v>
      </c>
    </row>
    <row r="689" s="106" customFormat="1" ht="20.1" customHeight="1" spans="1:16">
      <c r="A689" s="283" t="s">
        <v>676</v>
      </c>
      <c r="B689" s="323" t="s">
        <v>2506</v>
      </c>
      <c r="C689" s="285">
        <f t="shared" ref="C689:I689" si="145">SUM(C690:C691)</f>
        <v>784</v>
      </c>
      <c r="D689" s="285">
        <f t="shared" si="130"/>
        <v>1616</v>
      </c>
      <c r="E689" s="285">
        <f t="shared" si="145"/>
        <v>152</v>
      </c>
      <c r="F689" s="285">
        <f t="shared" si="145"/>
        <v>0</v>
      </c>
      <c r="G689" s="285">
        <f t="shared" si="145"/>
        <v>95</v>
      </c>
      <c r="H689" s="285">
        <f t="shared" si="145"/>
        <v>85</v>
      </c>
      <c r="I689" s="285">
        <f t="shared" si="145"/>
        <v>1284</v>
      </c>
      <c r="J689" s="324"/>
      <c r="K689" s="294" t="s">
        <v>3555</v>
      </c>
      <c r="L689" s="44">
        <v>1</v>
      </c>
      <c r="M689" s="308" t="s">
        <v>2504</v>
      </c>
      <c r="N689" s="308"/>
      <c r="O689" s="308" t="s">
        <v>674</v>
      </c>
      <c r="P689" s="314" t="s">
        <v>4021</v>
      </c>
    </row>
    <row r="690" s="107" customFormat="1" ht="20.1" customHeight="1" spans="1:16">
      <c r="A690" s="335" t="s">
        <v>2507</v>
      </c>
      <c r="B690" s="336" t="s">
        <v>2508</v>
      </c>
      <c r="C690" s="287">
        <v>288</v>
      </c>
      <c r="D690" s="288">
        <f t="shared" si="130"/>
        <v>300</v>
      </c>
      <c r="E690" s="287"/>
      <c r="F690" s="287"/>
      <c r="G690" s="287">
        <v>95</v>
      </c>
      <c r="H690" s="287">
        <v>10</v>
      </c>
      <c r="I690" s="302">
        <v>195</v>
      </c>
      <c r="J690" s="303"/>
      <c r="K690" s="300" t="s">
        <v>3551</v>
      </c>
      <c r="L690" s="301"/>
      <c r="M690" s="312" t="s">
        <v>676</v>
      </c>
      <c r="N690" s="312" t="s">
        <v>636</v>
      </c>
      <c r="O690" s="312" t="s">
        <v>676</v>
      </c>
      <c r="P690" s="313" t="s">
        <v>4022</v>
      </c>
    </row>
    <row r="691" s="106" customFormat="1" ht="20.1" customHeight="1" spans="1:16">
      <c r="A691" s="335" t="s">
        <v>2509</v>
      </c>
      <c r="B691" s="336" t="s">
        <v>2510</v>
      </c>
      <c r="C691" s="287">
        <v>496</v>
      </c>
      <c r="D691" s="288">
        <f t="shared" si="130"/>
        <v>1316</v>
      </c>
      <c r="E691" s="287">
        <v>152</v>
      </c>
      <c r="F691" s="287"/>
      <c r="G691" s="287"/>
      <c r="H691" s="287">
        <v>75</v>
      </c>
      <c r="I691" s="302">
        <v>1089</v>
      </c>
      <c r="J691" s="303"/>
      <c r="K691" s="294" t="s">
        <v>3555</v>
      </c>
      <c r="L691" s="44">
        <v>1</v>
      </c>
      <c r="M691" s="308" t="s">
        <v>2507</v>
      </c>
      <c r="N691" s="308"/>
      <c r="O691" s="308" t="s">
        <v>676</v>
      </c>
      <c r="P691" s="338" t="s">
        <v>4023</v>
      </c>
    </row>
    <row r="692" s="106" customFormat="1" ht="20.1" customHeight="1" spans="1:16">
      <c r="A692" s="283" t="s">
        <v>678</v>
      </c>
      <c r="B692" s="323" t="s">
        <v>2511</v>
      </c>
      <c r="C692" s="285">
        <f t="shared" ref="C692:I692" si="146">SUM(C693)</f>
        <v>2170</v>
      </c>
      <c r="D692" s="285">
        <f t="shared" si="130"/>
        <v>389</v>
      </c>
      <c r="E692" s="285">
        <f t="shared" si="146"/>
        <v>17</v>
      </c>
      <c r="F692" s="285">
        <f t="shared" si="146"/>
        <v>0</v>
      </c>
      <c r="G692" s="285">
        <f t="shared" si="146"/>
        <v>215</v>
      </c>
      <c r="H692" s="285">
        <f t="shared" si="146"/>
        <v>0</v>
      </c>
      <c r="I692" s="285">
        <f t="shared" si="146"/>
        <v>157</v>
      </c>
      <c r="J692" s="324">
        <f t="shared" si="144"/>
        <v>17.93</v>
      </c>
      <c r="K692" s="294" t="s">
        <v>3555</v>
      </c>
      <c r="L692" s="44">
        <v>1</v>
      </c>
      <c r="M692" s="308" t="s">
        <v>2509</v>
      </c>
      <c r="N692" s="308"/>
      <c r="O692" s="308" t="s">
        <v>676</v>
      </c>
      <c r="P692" s="338" t="s">
        <v>4024</v>
      </c>
    </row>
    <row r="693" s="107" customFormat="1" ht="20.1" customHeight="1" spans="1:16">
      <c r="A693" s="690" t="s">
        <v>2512</v>
      </c>
      <c r="B693" s="41" t="s">
        <v>2513</v>
      </c>
      <c r="C693" s="287">
        <v>2170</v>
      </c>
      <c r="D693" s="288">
        <f t="shared" si="130"/>
        <v>389</v>
      </c>
      <c r="E693" s="287">
        <v>17</v>
      </c>
      <c r="F693" s="287"/>
      <c r="G693" s="287">
        <v>215</v>
      </c>
      <c r="H693" s="287"/>
      <c r="I693" s="302">
        <v>157</v>
      </c>
      <c r="J693" s="303">
        <f t="shared" si="144"/>
        <v>17.93</v>
      </c>
      <c r="K693" s="300" t="s">
        <v>3551</v>
      </c>
      <c r="L693" s="301"/>
      <c r="M693" s="312" t="s">
        <v>678</v>
      </c>
      <c r="N693" s="312" t="s">
        <v>636</v>
      </c>
      <c r="O693" s="312" t="s">
        <v>678</v>
      </c>
      <c r="P693" s="313" t="s">
        <v>4025</v>
      </c>
    </row>
    <row r="694" s="106" customFormat="1" ht="20.1" customHeight="1" spans="1:16">
      <c r="A694" s="280" t="s">
        <v>680</v>
      </c>
      <c r="B694" s="281" t="s">
        <v>681</v>
      </c>
      <c r="C694" s="282">
        <f t="shared" ref="C694:I694" si="147">C695+C700+C715+C719+C760+C731+C735+C740+C744+C748+C751+C776+C767+C772</f>
        <v>29027</v>
      </c>
      <c r="D694" s="282">
        <f t="shared" si="130"/>
        <v>27991</v>
      </c>
      <c r="E694" s="282">
        <f t="shared" si="147"/>
        <v>9905</v>
      </c>
      <c r="F694" s="282">
        <f t="shared" si="147"/>
        <v>0</v>
      </c>
      <c r="G694" s="282">
        <f t="shared" si="147"/>
        <v>2394</v>
      </c>
      <c r="H694" s="282">
        <f t="shared" si="147"/>
        <v>1158</v>
      </c>
      <c r="I694" s="282">
        <f t="shared" si="147"/>
        <v>14534</v>
      </c>
      <c r="J694" s="296">
        <f t="shared" si="144"/>
        <v>96.43</v>
      </c>
      <c r="K694" s="294"/>
      <c r="L694" s="44">
        <v>1</v>
      </c>
      <c r="M694" s="308" t="s">
        <v>2512</v>
      </c>
      <c r="N694" s="308" t="s">
        <v>636</v>
      </c>
      <c r="O694" s="308" t="s">
        <v>678</v>
      </c>
      <c r="P694" s="309" t="s">
        <v>4025</v>
      </c>
    </row>
    <row r="695" s="107" customFormat="1" ht="20.1" customHeight="1" spans="1:16">
      <c r="A695" s="283" t="s">
        <v>682</v>
      </c>
      <c r="B695" s="323" t="s">
        <v>2514</v>
      </c>
      <c r="C695" s="285">
        <f t="shared" ref="C695:I695" si="148">SUM(C696:C699)</f>
        <v>543</v>
      </c>
      <c r="D695" s="285">
        <f t="shared" si="130"/>
        <v>552</v>
      </c>
      <c r="E695" s="285">
        <f t="shared" si="148"/>
        <v>0</v>
      </c>
      <c r="F695" s="285">
        <f t="shared" si="148"/>
        <v>0</v>
      </c>
      <c r="G695" s="285">
        <f t="shared" si="148"/>
        <v>0</v>
      </c>
      <c r="H695" s="285">
        <f t="shared" si="148"/>
        <v>0</v>
      </c>
      <c r="I695" s="285">
        <f t="shared" si="148"/>
        <v>552</v>
      </c>
      <c r="J695" s="324">
        <f t="shared" si="144"/>
        <v>101.66</v>
      </c>
      <c r="K695" s="297" t="s">
        <v>3550</v>
      </c>
      <c r="L695" s="298"/>
      <c r="M695" s="310" t="s">
        <v>680</v>
      </c>
      <c r="N695" s="310" t="s">
        <v>680</v>
      </c>
      <c r="O695" s="310" t="s">
        <v>680</v>
      </c>
      <c r="P695" s="339" t="s">
        <v>4026</v>
      </c>
    </row>
    <row r="696" s="107" customFormat="1" ht="20.1" customHeight="1" spans="1:16">
      <c r="A696" s="279" t="s">
        <v>2515</v>
      </c>
      <c r="B696" s="41" t="s">
        <v>1458</v>
      </c>
      <c r="C696" s="287">
        <v>256</v>
      </c>
      <c r="D696" s="288">
        <f t="shared" si="130"/>
        <v>258</v>
      </c>
      <c r="E696" s="287"/>
      <c r="F696" s="287"/>
      <c r="G696" s="287"/>
      <c r="H696" s="287"/>
      <c r="I696" s="302">
        <v>258</v>
      </c>
      <c r="J696" s="303">
        <f t="shared" si="144"/>
        <v>100.78</v>
      </c>
      <c r="K696" s="300" t="s">
        <v>3551</v>
      </c>
      <c r="L696" s="301"/>
      <c r="M696" s="312" t="s">
        <v>682</v>
      </c>
      <c r="N696" s="312" t="s">
        <v>680</v>
      </c>
      <c r="O696" s="312" t="s">
        <v>682</v>
      </c>
      <c r="P696" s="313" t="s">
        <v>4027</v>
      </c>
    </row>
    <row r="697" s="106" customFormat="1" ht="20.1" customHeight="1" spans="1:16">
      <c r="A697" s="279" t="s">
        <v>2516</v>
      </c>
      <c r="B697" s="41" t="s">
        <v>1460</v>
      </c>
      <c r="C697" s="287">
        <v>33</v>
      </c>
      <c r="D697" s="288">
        <f t="shared" ref="D697:D760" si="149">SUM(E697:I697)</f>
        <v>40</v>
      </c>
      <c r="E697" s="287"/>
      <c r="F697" s="287"/>
      <c r="G697" s="287"/>
      <c r="H697" s="287"/>
      <c r="I697" s="302">
        <v>40</v>
      </c>
      <c r="J697" s="303">
        <f t="shared" si="144"/>
        <v>121.21</v>
      </c>
      <c r="K697" s="294" t="s">
        <v>3555</v>
      </c>
      <c r="L697" s="44">
        <v>1</v>
      </c>
      <c r="M697" s="308" t="s">
        <v>2515</v>
      </c>
      <c r="N697" s="308"/>
      <c r="O697" s="308" t="s">
        <v>682</v>
      </c>
      <c r="P697" s="314" t="s">
        <v>3556</v>
      </c>
    </row>
    <row r="698" s="106" customFormat="1" ht="20.1" customHeight="1" spans="1:16">
      <c r="A698" s="279" t="s">
        <v>2517</v>
      </c>
      <c r="B698" s="41" t="s">
        <v>1462</v>
      </c>
      <c r="C698" s="287"/>
      <c r="D698" s="288">
        <f t="shared" si="149"/>
        <v>0</v>
      </c>
      <c r="E698" s="287"/>
      <c r="F698" s="287"/>
      <c r="G698" s="287"/>
      <c r="H698" s="287"/>
      <c r="I698" s="302"/>
      <c r="J698" s="303">
        <f t="shared" si="144"/>
        <v>0</v>
      </c>
      <c r="K698" s="294" t="s">
        <v>3555</v>
      </c>
      <c r="L698" s="44">
        <v>1</v>
      </c>
      <c r="M698" s="308" t="s">
        <v>2516</v>
      </c>
      <c r="N698" s="308"/>
      <c r="O698" s="308" t="s">
        <v>682</v>
      </c>
      <c r="P698" s="314" t="s">
        <v>3557</v>
      </c>
    </row>
    <row r="699" s="106" customFormat="1" ht="20.1" customHeight="1" spans="1:16">
      <c r="A699" s="279" t="s">
        <v>2518</v>
      </c>
      <c r="B699" s="41" t="s">
        <v>2519</v>
      </c>
      <c r="C699" s="287">
        <v>254</v>
      </c>
      <c r="D699" s="288">
        <f t="shared" si="149"/>
        <v>254</v>
      </c>
      <c r="E699" s="287"/>
      <c r="F699" s="287"/>
      <c r="G699" s="287"/>
      <c r="H699" s="287"/>
      <c r="I699" s="302">
        <v>254</v>
      </c>
      <c r="J699" s="303">
        <f t="shared" si="144"/>
        <v>100</v>
      </c>
      <c r="K699" s="294" t="s">
        <v>3555</v>
      </c>
      <c r="L699" s="44">
        <v>1</v>
      </c>
      <c r="M699" s="308" t="s">
        <v>2517</v>
      </c>
      <c r="N699" s="308"/>
      <c r="O699" s="308" t="s">
        <v>682</v>
      </c>
      <c r="P699" s="314" t="s">
        <v>3558</v>
      </c>
    </row>
    <row r="700" s="106" customFormat="1" ht="20.1" customHeight="1" spans="1:16">
      <c r="A700" s="283" t="s">
        <v>684</v>
      </c>
      <c r="B700" s="323" t="s">
        <v>2520</v>
      </c>
      <c r="C700" s="285">
        <f t="shared" ref="C700:I700" si="150">SUM(C701:C714)</f>
        <v>2238</v>
      </c>
      <c r="D700" s="285">
        <f t="shared" si="149"/>
        <v>2351</v>
      </c>
      <c r="E700" s="285">
        <f t="shared" si="150"/>
        <v>0</v>
      </c>
      <c r="F700" s="285">
        <f t="shared" si="150"/>
        <v>0</v>
      </c>
      <c r="G700" s="285">
        <f t="shared" si="150"/>
        <v>248</v>
      </c>
      <c r="H700" s="285">
        <f t="shared" si="150"/>
        <v>0</v>
      </c>
      <c r="I700" s="285">
        <f t="shared" si="150"/>
        <v>2103</v>
      </c>
      <c r="J700" s="324">
        <f t="shared" si="144"/>
        <v>105.05</v>
      </c>
      <c r="K700" s="294" t="s">
        <v>3555</v>
      </c>
      <c r="L700" s="44">
        <v>1</v>
      </c>
      <c r="M700" s="308" t="s">
        <v>2518</v>
      </c>
      <c r="N700" s="308"/>
      <c r="O700" s="308" t="s">
        <v>682</v>
      </c>
      <c r="P700" s="314" t="s">
        <v>4028</v>
      </c>
    </row>
    <row r="701" s="107" customFormat="1" ht="20.1" customHeight="1" spans="1:16">
      <c r="A701" s="279" t="s">
        <v>2521</v>
      </c>
      <c r="B701" s="41" t="s">
        <v>2522</v>
      </c>
      <c r="C701" s="287">
        <v>1121</v>
      </c>
      <c r="D701" s="288">
        <f t="shared" si="149"/>
        <v>1262</v>
      </c>
      <c r="E701" s="287"/>
      <c r="F701" s="287"/>
      <c r="G701" s="287"/>
      <c r="H701" s="287"/>
      <c r="I701" s="302">
        <v>1262</v>
      </c>
      <c r="J701" s="303">
        <f t="shared" si="144"/>
        <v>112.58</v>
      </c>
      <c r="K701" s="300" t="s">
        <v>3551</v>
      </c>
      <c r="L701" s="301"/>
      <c r="M701" s="312" t="s">
        <v>684</v>
      </c>
      <c r="N701" s="312" t="s">
        <v>680</v>
      </c>
      <c r="O701" s="312" t="s">
        <v>684</v>
      </c>
      <c r="P701" s="313" t="s">
        <v>4029</v>
      </c>
    </row>
    <row r="702" s="106" customFormat="1" ht="20.1" customHeight="1" spans="1:16">
      <c r="A702" s="279" t="s">
        <v>2523</v>
      </c>
      <c r="B702" s="41" t="s">
        <v>2524</v>
      </c>
      <c r="C702" s="287">
        <v>1107</v>
      </c>
      <c r="D702" s="288">
        <f t="shared" si="149"/>
        <v>840</v>
      </c>
      <c r="E702" s="287"/>
      <c r="F702" s="287"/>
      <c r="G702" s="287"/>
      <c r="H702" s="287"/>
      <c r="I702" s="302">
        <v>840</v>
      </c>
      <c r="J702" s="303">
        <f t="shared" si="144"/>
        <v>75.88</v>
      </c>
      <c r="K702" s="294" t="s">
        <v>3555</v>
      </c>
      <c r="L702" s="44">
        <v>1</v>
      </c>
      <c r="M702" s="308" t="s">
        <v>2521</v>
      </c>
      <c r="N702" s="308"/>
      <c r="O702" s="308" t="s">
        <v>684</v>
      </c>
      <c r="P702" s="309" t="s">
        <v>4030</v>
      </c>
    </row>
    <row r="703" s="106" customFormat="1" ht="20.1" customHeight="1" spans="1:16">
      <c r="A703" s="279" t="s">
        <v>2525</v>
      </c>
      <c r="B703" s="41" t="s">
        <v>2526</v>
      </c>
      <c r="C703" s="287"/>
      <c r="D703" s="288">
        <f t="shared" si="149"/>
        <v>0</v>
      </c>
      <c r="E703" s="287"/>
      <c r="F703" s="287"/>
      <c r="G703" s="287"/>
      <c r="H703" s="287"/>
      <c r="I703" s="302"/>
      <c r="J703" s="303">
        <f t="shared" si="144"/>
        <v>0</v>
      </c>
      <c r="K703" s="294" t="s">
        <v>3555</v>
      </c>
      <c r="L703" s="44">
        <v>1</v>
      </c>
      <c r="M703" s="308" t="s">
        <v>2523</v>
      </c>
      <c r="N703" s="308"/>
      <c r="O703" s="308" t="s">
        <v>684</v>
      </c>
      <c r="P703" s="309" t="s">
        <v>4031</v>
      </c>
    </row>
    <row r="704" s="106" customFormat="1" ht="20.1" customHeight="1" spans="1:16">
      <c r="A704" s="279" t="s">
        <v>2527</v>
      </c>
      <c r="B704" s="41" t="s">
        <v>2528</v>
      </c>
      <c r="C704" s="287"/>
      <c r="D704" s="288">
        <f t="shared" si="149"/>
        <v>0</v>
      </c>
      <c r="E704" s="287"/>
      <c r="F704" s="287"/>
      <c r="G704" s="287"/>
      <c r="H704" s="287"/>
      <c r="I704" s="302"/>
      <c r="J704" s="303">
        <f t="shared" si="144"/>
        <v>0</v>
      </c>
      <c r="K704" s="294" t="s">
        <v>3555</v>
      </c>
      <c r="L704" s="44">
        <v>1</v>
      </c>
      <c r="M704" s="308" t="s">
        <v>2525</v>
      </c>
      <c r="N704" s="308"/>
      <c r="O704" s="308" t="s">
        <v>684</v>
      </c>
      <c r="P704" s="309" t="s">
        <v>4032</v>
      </c>
    </row>
    <row r="705" s="106" customFormat="1" ht="20.1" customHeight="1" spans="1:16">
      <c r="A705" s="279" t="s">
        <v>2529</v>
      </c>
      <c r="B705" s="41" t="s">
        <v>2530</v>
      </c>
      <c r="C705" s="287"/>
      <c r="D705" s="288">
        <f t="shared" si="149"/>
        <v>0</v>
      </c>
      <c r="E705" s="287"/>
      <c r="F705" s="287"/>
      <c r="G705" s="287"/>
      <c r="H705" s="287"/>
      <c r="I705" s="302"/>
      <c r="J705" s="303">
        <f t="shared" si="144"/>
        <v>0</v>
      </c>
      <c r="K705" s="294" t="s">
        <v>3555</v>
      </c>
      <c r="L705" s="44">
        <v>1</v>
      </c>
      <c r="M705" s="308" t="s">
        <v>2527</v>
      </c>
      <c r="N705" s="308"/>
      <c r="O705" s="308" t="s">
        <v>684</v>
      </c>
      <c r="P705" s="309" t="s">
        <v>4033</v>
      </c>
    </row>
    <row r="706" s="266" customFormat="1" ht="20.1" customHeight="1" spans="1:16">
      <c r="A706" s="279" t="s">
        <v>2531</v>
      </c>
      <c r="B706" s="41" t="s">
        <v>2532</v>
      </c>
      <c r="C706" s="287"/>
      <c r="D706" s="288">
        <f t="shared" si="149"/>
        <v>0</v>
      </c>
      <c r="E706" s="287"/>
      <c r="F706" s="287"/>
      <c r="G706" s="287"/>
      <c r="H706" s="287"/>
      <c r="I706" s="302"/>
      <c r="J706" s="303">
        <f t="shared" si="144"/>
        <v>0</v>
      </c>
      <c r="K706" s="294" t="s">
        <v>3555</v>
      </c>
      <c r="L706" s="44">
        <v>1</v>
      </c>
      <c r="M706" s="308" t="s">
        <v>2529</v>
      </c>
      <c r="N706" s="308"/>
      <c r="O706" s="308" t="s">
        <v>684</v>
      </c>
      <c r="P706" s="309" t="s">
        <v>4034</v>
      </c>
    </row>
    <row r="707" s="266" customFormat="1" ht="20.1" customHeight="1" spans="1:16">
      <c r="A707" s="279" t="s">
        <v>2533</v>
      </c>
      <c r="B707" s="41" t="s">
        <v>2534</v>
      </c>
      <c r="C707" s="287"/>
      <c r="D707" s="288">
        <f t="shared" si="149"/>
        <v>0</v>
      </c>
      <c r="E707" s="287"/>
      <c r="F707" s="287"/>
      <c r="G707" s="287"/>
      <c r="H707" s="287"/>
      <c r="I707" s="302"/>
      <c r="J707" s="303">
        <f t="shared" si="144"/>
        <v>0</v>
      </c>
      <c r="K707" s="294" t="s">
        <v>3555</v>
      </c>
      <c r="L707" s="44">
        <v>1</v>
      </c>
      <c r="M707" s="308" t="s">
        <v>2531</v>
      </c>
      <c r="N707" s="308"/>
      <c r="O707" s="308" t="s">
        <v>684</v>
      </c>
      <c r="P707" s="309" t="s">
        <v>4035</v>
      </c>
    </row>
    <row r="708" s="266" customFormat="1" ht="20.1" customHeight="1" spans="1:16">
      <c r="A708" s="279" t="s">
        <v>2535</v>
      </c>
      <c r="B708" s="41" t="s">
        <v>2536</v>
      </c>
      <c r="C708" s="287"/>
      <c r="D708" s="288">
        <f t="shared" si="149"/>
        <v>0</v>
      </c>
      <c r="E708" s="287"/>
      <c r="F708" s="287"/>
      <c r="G708" s="287"/>
      <c r="H708" s="287"/>
      <c r="I708" s="302"/>
      <c r="J708" s="303">
        <f t="shared" si="144"/>
        <v>0</v>
      </c>
      <c r="K708" s="294" t="s">
        <v>3555</v>
      </c>
      <c r="L708" s="44">
        <v>1</v>
      </c>
      <c r="M708" s="308" t="s">
        <v>2533</v>
      </c>
      <c r="N708" s="308"/>
      <c r="O708" s="308" t="s">
        <v>684</v>
      </c>
      <c r="P708" s="309" t="s">
        <v>4036</v>
      </c>
    </row>
    <row r="709" s="106" customFormat="1" ht="20.1" customHeight="1" spans="1:16">
      <c r="A709" s="279" t="s">
        <v>2537</v>
      </c>
      <c r="B709" s="41" t="s">
        <v>2538</v>
      </c>
      <c r="C709" s="287"/>
      <c r="D709" s="288">
        <f t="shared" si="149"/>
        <v>0</v>
      </c>
      <c r="E709" s="287"/>
      <c r="F709" s="287"/>
      <c r="G709" s="287"/>
      <c r="H709" s="287"/>
      <c r="I709" s="302"/>
      <c r="J709" s="303">
        <f t="shared" si="144"/>
        <v>0</v>
      </c>
      <c r="K709" s="294" t="s">
        <v>3555</v>
      </c>
      <c r="L709" s="44">
        <v>1</v>
      </c>
      <c r="M709" s="308" t="s">
        <v>2535</v>
      </c>
      <c r="N709" s="308"/>
      <c r="O709" s="308" t="s">
        <v>684</v>
      </c>
      <c r="P709" s="309" t="s">
        <v>4037</v>
      </c>
    </row>
    <row r="710" s="106" customFormat="1" ht="20.1" customHeight="1" spans="1:16">
      <c r="A710" s="279" t="s">
        <v>2539</v>
      </c>
      <c r="B710" s="41" t="s">
        <v>2540</v>
      </c>
      <c r="C710" s="287"/>
      <c r="D710" s="288">
        <f t="shared" si="149"/>
        <v>0</v>
      </c>
      <c r="E710" s="287"/>
      <c r="F710" s="287"/>
      <c r="G710" s="287"/>
      <c r="H710" s="287"/>
      <c r="I710" s="302"/>
      <c r="J710" s="303">
        <f t="shared" si="144"/>
        <v>0</v>
      </c>
      <c r="K710" s="294" t="s">
        <v>3555</v>
      </c>
      <c r="L710" s="44">
        <v>1</v>
      </c>
      <c r="M710" s="308" t="s">
        <v>2537</v>
      </c>
      <c r="N710" s="308"/>
      <c r="O710" s="308" t="s">
        <v>684</v>
      </c>
      <c r="P710" s="309" t="s">
        <v>4038</v>
      </c>
    </row>
    <row r="711" s="106" customFormat="1" ht="20.1" customHeight="1" spans="1:16">
      <c r="A711" s="279" t="s">
        <v>2541</v>
      </c>
      <c r="B711" s="41" t="s">
        <v>2542</v>
      </c>
      <c r="C711" s="287"/>
      <c r="D711" s="288">
        <f t="shared" si="149"/>
        <v>0</v>
      </c>
      <c r="E711" s="287"/>
      <c r="F711" s="287"/>
      <c r="G711" s="287"/>
      <c r="H711" s="287"/>
      <c r="I711" s="302"/>
      <c r="J711" s="303">
        <f t="shared" si="144"/>
        <v>0</v>
      </c>
      <c r="K711" s="294" t="s">
        <v>3555</v>
      </c>
      <c r="L711" s="44">
        <v>1</v>
      </c>
      <c r="M711" s="308" t="s">
        <v>2539</v>
      </c>
      <c r="N711" s="308"/>
      <c r="O711" s="308" t="s">
        <v>684</v>
      </c>
      <c r="P711" s="309" t="s">
        <v>4039</v>
      </c>
    </row>
    <row r="712" s="106" customFormat="1" ht="20.1" customHeight="1" spans="1:16">
      <c r="A712" s="279" t="s">
        <v>2543</v>
      </c>
      <c r="B712" s="41" t="s">
        <v>2544</v>
      </c>
      <c r="C712" s="287"/>
      <c r="D712" s="288">
        <f t="shared" si="149"/>
        <v>0</v>
      </c>
      <c r="E712" s="287"/>
      <c r="F712" s="287"/>
      <c r="G712" s="287"/>
      <c r="H712" s="287"/>
      <c r="I712" s="302"/>
      <c r="J712" s="303"/>
      <c r="K712" s="294" t="s">
        <v>3555</v>
      </c>
      <c r="L712" s="44">
        <v>1</v>
      </c>
      <c r="M712" s="308" t="s">
        <v>2541</v>
      </c>
      <c r="N712" s="308"/>
      <c r="O712" s="308" t="s">
        <v>684</v>
      </c>
      <c r="P712" s="309" t="s">
        <v>4040</v>
      </c>
    </row>
    <row r="713" s="106" customFormat="1" ht="20.1" customHeight="1" spans="1:16">
      <c r="A713" s="279" t="s">
        <v>2545</v>
      </c>
      <c r="B713" s="41" t="s">
        <v>2546</v>
      </c>
      <c r="C713" s="287"/>
      <c r="D713" s="288">
        <f t="shared" si="149"/>
        <v>0</v>
      </c>
      <c r="E713" s="287"/>
      <c r="F713" s="287"/>
      <c r="G713" s="287"/>
      <c r="H713" s="287"/>
      <c r="I713" s="302"/>
      <c r="J713" s="303"/>
      <c r="K713" s="294" t="s">
        <v>3555</v>
      </c>
      <c r="L713" s="44">
        <v>1</v>
      </c>
      <c r="M713" s="308" t="s">
        <v>2543</v>
      </c>
      <c r="N713" s="308"/>
      <c r="O713" s="308" t="s">
        <v>684</v>
      </c>
      <c r="P713" s="340" t="s">
        <v>4041</v>
      </c>
    </row>
    <row r="714" s="106" customFormat="1" ht="20.1" customHeight="1" spans="1:16">
      <c r="A714" s="279" t="s">
        <v>2547</v>
      </c>
      <c r="B714" s="41" t="s">
        <v>2548</v>
      </c>
      <c r="C714" s="287">
        <v>10</v>
      </c>
      <c r="D714" s="288">
        <f t="shared" si="149"/>
        <v>249</v>
      </c>
      <c r="E714" s="287"/>
      <c r="F714" s="287"/>
      <c r="G714" s="287">
        <v>248</v>
      </c>
      <c r="H714" s="287"/>
      <c r="I714" s="302">
        <v>1</v>
      </c>
      <c r="J714" s="303">
        <f t="shared" ref="J714:J761" si="151">ROUND(IF(C714=0,IF(D714=0,0,1),IF(D714=0,-1,D714/C714)),4)*100</f>
        <v>2490</v>
      </c>
      <c r="K714" s="294" t="s">
        <v>3555</v>
      </c>
      <c r="L714" s="44">
        <v>1</v>
      </c>
      <c r="M714" s="308" t="s">
        <v>2545</v>
      </c>
      <c r="N714" s="308"/>
      <c r="O714" s="308" t="s">
        <v>684</v>
      </c>
      <c r="P714" s="340" t="s">
        <v>4042</v>
      </c>
    </row>
    <row r="715" s="106" customFormat="1" ht="20.1" customHeight="1" spans="1:16">
      <c r="A715" s="283" t="s">
        <v>686</v>
      </c>
      <c r="B715" s="323" t="s">
        <v>2549</v>
      </c>
      <c r="C715" s="285">
        <f t="shared" ref="C715:I715" si="152">SUM(C716:C718)</f>
        <v>5246</v>
      </c>
      <c r="D715" s="285">
        <f t="shared" si="149"/>
        <v>4775</v>
      </c>
      <c r="E715" s="285">
        <f t="shared" si="152"/>
        <v>815</v>
      </c>
      <c r="F715" s="285">
        <f t="shared" si="152"/>
        <v>0</v>
      </c>
      <c r="G715" s="285">
        <f t="shared" si="152"/>
        <v>294</v>
      </c>
      <c r="H715" s="285">
        <f t="shared" si="152"/>
        <v>0</v>
      </c>
      <c r="I715" s="285">
        <f t="shared" si="152"/>
        <v>3666</v>
      </c>
      <c r="J715" s="324">
        <f t="shared" si="151"/>
        <v>91.02</v>
      </c>
      <c r="K715" s="294" t="s">
        <v>3555</v>
      </c>
      <c r="L715" s="44">
        <v>1</v>
      </c>
      <c r="M715" s="308" t="s">
        <v>2547</v>
      </c>
      <c r="N715" s="308"/>
      <c r="O715" s="308" t="s">
        <v>684</v>
      </c>
      <c r="P715" s="309" t="s">
        <v>4043</v>
      </c>
    </row>
    <row r="716" s="107" customFormat="1" ht="20.1" customHeight="1" spans="1:16">
      <c r="A716" s="279" t="s">
        <v>2550</v>
      </c>
      <c r="B716" s="41" t="s">
        <v>2551</v>
      </c>
      <c r="C716" s="287"/>
      <c r="D716" s="288">
        <f t="shared" si="149"/>
        <v>0</v>
      </c>
      <c r="E716" s="287"/>
      <c r="F716" s="287"/>
      <c r="G716" s="287"/>
      <c r="H716" s="287"/>
      <c r="I716" s="302"/>
      <c r="J716" s="303">
        <f t="shared" si="151"/>
        <v>0</v>
      </c>
      <c r="K716" s="300" t="s">
        <v>3551</v>
      </c>
      <c r="L716" s="301"/>
      <c r="M716" s="312" t="s">
        <v>686</v>
      </c>
      <c r="N716" s="312" t="s">
        <v>680</v>
      </c>
      <c r="O716" s="312" t="s">
        <v>686</v>
      </c>
      <c r="P716" s="313" t="s">
        <v>4044</v>
      </c>
    </row>
    <row r="717" s="266" customFormat="1" ht="20.1" customHeight="1" spans="1:16">
      <c r="A717" s="279" t="s">
        <v>2552</v>
      </c>
      <c r="B717" s="41" t="s">
        <v>2553</v>
      </c>
      <c r="C717" s="287">
        <v>3301</v>
      </c>
      <c r="D717" s="288">
        <f t="shared" si="149"/>
        <v>3490</v>
      </c>
      <c r="E717" s="287">
        <v>329</v>
      </c>
      <c r="F717" s="287"/>
      <c r="G717" s="287">
        <v>3</v>
      </c>
      <c r="H717" s="287"/>
      <c r="I717" s="302">
        <v>3158</v>
      </c>
      <c r="J717" s="303">
        <f t="shared" si="151"/>
        <v>105.73</v>
      </c>
      <c r="K717" s="294" t="s">
        <v>3555</v>
      </c>
      <c r="L717" s="44">
        <v>1</v>
      </c>
      <c r="M717" s="308" t="s">
        <v>2550</v>
      </c>
      <c r="N717" s="308"/>
      <c r="O717" s="308" t="s">
        <v>686</v>
      </c>
      <c r="P717" s="309" t="s">
        <v>4045</v>
      </c>
    </row>
    <row r="718" s="266" customFormat="1" ht="20.1" customHeight="1" spans="1:16">
      <c r="A718" s="279" t="s">
        <v>2554</v>
      </c>
      <c r="B718" s="41" t="s">
        <v>2555</v>
      </c>
      <c r="C718" s="287">
        <v>1945</v>
      </c>
      <c r="D718" s="288">
        <f t="shared" si="149"/>
        <v>1285</v>
      </c>
      <c r="E718" s="287">
        <v>486</v>
      </c>
      <c r="F718" s="287"/>
      <c r="G718" s="287">
        <v>291</v>
      </c>
      <c r="H718" s="287"/>
      <c r="I718" s="302">
        <v>508</v>
      </c>
      <c r="J718" s="303">
        <f t="shared" si="151"/>
        <v>66.07</v>
      </c>
      <c r="K718" s="294" t="s">
        <v>3555</v>
      </c>
      <c r="L718" s="44">
        <v>1</v>
      </c>
      <c r="M718" s="308" t="s">
        <v>2552</v>
      </c>
      <c r="N718" s="308"/>
      <c r="O718" s="308" t="s">
        <v>686</v>
      </c>
      <c r="P718" s="309" t="s">
        <v>4046</v>
      </c>
    </row>
    <row r="719" s="266" customFormat="1" ht="20.1" customHeight="1" spans="1:16">
      <c r="A719" s="283" t="s">
        <v>688</v>
      </c>
      <c r="B719" s="323" t="s">
        <v>2556</v>
      </c>
      <c r="C719" s="285">
        <f t="shared" ref="C719:I719" si="153">SUM(C720:C730)</f>
        <v>5921</v>
      </c>
      <c r="D719" s="285">
        <f t="shared" si="149"/>
        <v>4895</v>
      </c>
      <c r="E719" s="285">
        <f t="shared" si="153"/>
        <v>3073</v>
      </c>
      <c r="F719" s="285">
        <f t="shared" si="153"/>
        <v>0</v>
      </c>
      <c r="G719" s="285">
        <f t="shared" si="153"/>
        <v>189</v>
      </c>
      <c r="H719" s="285">
        <f t="shared" si="153"/>
        <v>8</v>
      </c>
      <c r="I719" s="285">
        <f t="shared" si="153"/>
        <v>1625</v>
      </c>
      <c r="J719" s="324">
        <f t="shared" si="151"/>
        <v>82.67</v>
      </c>
      <c r="K719" s="294" t="s">
        <v>3555</v>
      </c>
      <c r="L719" s="44">
        <v>1</v>
      </c>
      <c r="M719" s="308" t="s">
        <v>2554</v>
      </c>
      <c r="N719" s="308"/>
      <c r="O719" s="308" t="s">
        <v>686</v>
      </c>
      <c r="P719" s="309" t="s">
        <v>4047</v>
      </c>
    </row>
    <row r="720" s="107" customFormat="1" ht="20.1" customHeight="1" spans="1:16">
      <c r="A720" s="279" t="s">
        <v>2557</v>
      </c>
      <c r="B720" s="41" t="s">
        <v>2558</v>
      </c>
      <c r="C720" s="287">
        <v>587</v>
      </c>
      <c r="D720" s="288">
        <f t="shared" si="149"/>
        <v>473</v>
      </c>
      <c r="E720" s="287"/>
      <c r="F720" s="287"/>
      <c r="G720" s="287"/>
      <c r="H720" s="287"/>
      <c r="I720" s="302">
        <v>473</v>
      </c>
      <c r="J720" s="303">
        <f t="shared" si="151"/>
        <v>80.58</v>
      </c>
      <c r="K720" s="300" t="s">
        <v>3551</v>
      </c>
      <c r="L720" s="301"/>
      <c r="M720" s="312" t="s">
        <v>688</v>
      </c>
      <c r="N720" s="312" t="s">
        <v>680</v>
      </c>
      <c r="O720" s="312" t="s">
        <v>688</v>
      </c>
      <c r="P720" s="313" t="s">
        <v>4048</v>
      </c>
    </row>
    <row r="721" s="266" customFormat="1" ht="20.1" customHeight="1" spans="1:16">
      <c r="A721" s="279" t="s">
        <v>2559</v>
      </c>
      <c r="B721" s="41" t="s">
        <v>2560</v>
      </c>
      <c r="C721" s="287">
        <v>62</v>
      </c>
      <c r="D721" s="288">
        <f t="shared" si="149"/>
        <v>7</v>
      </c>
      <c r="E721" s="287"/>
      <c r="F721" s="287"/>
      <c r="G721" s="287">
        <v>3</v>
      </c>
      <c r="H721" s="287"/>
      <c r="I721" s="302">
        <v>4</v>
      </c>
      <c r="J721" s="303">
        <f t="shared" si="151"/>
        <v>11.29</v>
      </c>
      <c r="K721" s="294" t="s">
        <v>3555</v>
      </c>
      <c r="L721" s="44">
        <v>1</v>
      </c>
      <c r="M721" s="308" t="s">
        <v>2557</v>
      </c>
      <c r="N721" s="308"/>
      <c r="O721" s="308" t="s">
        <v>688</v>
      </c>
      <c r="P721" s="309" t="s">
        <v>4049</v>
      </c>
    </row>
    <row r="722" s="266" customFormat="1" ht="20.1" customHeight="1" spans="1:16">
      <c r="A722" s="279" t="s">
        <v>2561</v>
      </c>
      <c r="B722" s="41" t="s">
        <v>2562</v>
      </c>
      <c r="C722" s="287">
        <v>960</v>
      </c>
      <c r="D722" s="288">
        <f t="shared" si="149"/>
        <v>947</v>
      </c>
      <c r="E722" s="287"/>
      <c r="F722" s="287"/>
      <c r="G722" s="287"/>
      <c r="H722" s="287"/>
      <c r="I722" s="302">
        <v>947</v>
      </c>
      <c r="J722" s="303">
        <f t="shared" si="151"/>
        <v>98.65</v>
      </c>
      <c r="K722" s="294" t="s">
        <v>3555</v>
      </c>
      <c r="L722" s="44">
        <v>1</v>
      </c>
      <c r="M722" s="308" t="s">
        <v>2559</v>
      </c>
      <c r="N722" s="308"/>
      <c r="O722" s="308" t="s">
        <v>688</v>
      </c>
      <c r="P722" s="309" t="s">
        <v>4050</v>
      </c>
    </row>
    <row r="723" s="266" customFormat="1" ht="20.1" customHeight="1" spans="1:16">
      <c r="A723" s="279" t="s">
        <v>2563</v>
      </c>
      <c r="B723" s="41" t="s">
        <v>2564</v>
      </c>
      <c r="C723" s="287"/>
      <c r="D723" s="288">
        <f t="shared" si="149"/>
        <v>0</v>
      </c>
      <c r="E723" s="287"/>
      <c r="F723" s="287"/>
      <c r="G723" s="287"/>
      <c r="H723" s="287"/>
      <c r="I723" s="302"/>
      <c r="J723" s="303">
        <f t="shared" si="151"/>
        <v>0</v>
      </c>
      <c r="K723" s="294" t="s">
        <v>3555</v>
      </c>
      <c r="L723" s="44">
        <v>1</v>
      </c>
      <c r="M723" s="308" t="s">
        <v>2561</v>
      </c>
      <c r="N723" s="308"/>
      <c r="O723" s="308" t="s">
        <v>688</v>
      </c>
      <c r="P723" s="309" t="s">
        <v>4051</v>
      </c>
    </row>
    <row r="724" s="266" customFormat="1" ht="20.1" customHeight="1" spans="1:16">
      <c r="A724" s="279" t="s">
        <v>2565</v>
      </c>
      <c r="B724" s="41" t="s">
        <v>2566</v>
      </c>
      <c r="C724" s="287"/>
      <c r="D724" s="288">
        <f t="shared" si="149"/>
        <v>0</v>
      </c>
      <c r="E724" s="287"/>
      <c r="F724" s="287"/>
      <c r="G724" s="287"/>
      <c r="H724" s="287"/>
      <c r="I724" s="302"/>
      <c r="J724" s="303">
        <f t="shared" si="151"/>
        <v>0</v>
      </c>
      <c r="K724" s="294" t="s">
        <v>3555</v>
      </c>
      <c r="L724" s="44">
        <v>1</v>
      </c>
      <c r="M724" s="308" t="s">
        <v>2563</v>
      </c>
      <c r="N724" s="308"/>
      <c r="O724" s="308" t="s">
        <v>688</v>
      </c>
      <c r="P724" s="309" t="s">
        <v>4052</v>
      </c>
    </row>
    <row r="725" s="266" customFormat="1" ht="20.1" customHeight="1" spans="1:16">
      <c r="A725" s="279" t="s">
        <v>2567</v>
      </c>
      <c r="B725" s="41" t="s">
        <v>2568</v>
      </c>
      <c r="C725" s="287"/>
      <c r="D725" s="288">
        <f t="shared" si="149"/>
        <v>0</v>
      </c>
      <c r="E725" s="287"/>
      <c r="F725" s="287"/>
      <c r="G725" s="287"/>
      <c r="H725" s="287"/>
      <c r="I725" s="302"/>
      <c r="J725" s="303">
        <f t="shared" si="151"/>
        <v>0</v>
      </c>
      <c r="K725" s="294" t="s">
        <v>3555</v>
      </c>
      <c r="L725" s="44">
        <v>1</v>
      </c>
      <c r="M725" s="308" t="s">
        <v>2565</v>
      </c>
      <c r="N725" s="308"/>
      <c r="O725" s="308" t="s">
        <v>688</v>
      </c>
      <c r="P725" s="309" t="s">
        <v>4053</v>
      </c>
    </row>
    <row r="726" s="106" customFormat="1" ht="20.1" customHeight="1" spans="1:16">
      <c r="A726" s="279" t="s">
        <v>2569</v>
      </c>
      <c r="B726" s="41" t="s">
        <v>2570</v>
      </c>
      <c r="C726" s="287"/>
      <c r="D726" s="288">
        <f t="shared" si="149"/>
        <v>0</v>
      </c>
      <c r="E726" s="287"/>
      <c r="F726" s="287"/>
      <c r="G726" s="287"/>
      <c r="H726" s="287"/>
      <c r="I726" s="302"/>
      <c r="J726" s="303">
        <f t="shared" si="151"/>
        <v>0</v>
      </c>
      <c r="K726" s="294" t="s">
        <v>3555</v>
      </c>
      <c r="L726" s="44">
        <v>1</v>
      </c>
      <c r="M726" s="308" t="s">
        <v>2567</v>
      </c>
      <c r="N726" s="308"/>
      <c r="O726" s="308" t="s">
        <v>688</v>
      </c>
      <c r="P726" s="309" t="s">
        <v>4054</v>
      </c>
    </row>
    <row r="727" s="106" customFormat="1" ht="20.1" customHeight="1" spans="1:16">
      <c r="A727" s="279" t="s">
        <v>2571</v>
      </c>
      <c r="B727" s="41" t="s">
        <v>2572</v>
      </c>
      <c r="C727" s="287">
        <v>3535</v>
      </c>
      <c r="D727" s="288">
        <f t="shared" si="149"/>
        <v>2929</v>
      </c>
      <c r="E727" s="287">
        <v>2692</v>
      </c>
      <c r="F727" s="287"/>
      <c r="G727" s="287">
        <v>68</v>
      </c>
      <c r="H727" s="287">
        <v>8</v>
      </c>
      <c r="I727" s="302">
        <v>161</v>
      </c>
      <c r="J727" s="303">
        <f t="shared" si="151"/>
        <v>82.86</v>
      </c>
      <c r="K727" s="294" t="s">
        <v>3555</v>
      </c>
      <c r="L727" s="44">
        <v>1</v>
      </c>
      <c r="M727" s="308" t="s">
        <v>2569</v>
      </c>
      <c r="N727" s="308"/>
      <c r="O727" s="308" t="s">
        <v>688</v>
      </c>
      <c r="P727" s="309" t="s">
        <v>4055</v>
      </c>
    </row>
    <row r="728" s="106" customFormat="1" ht="20.1" customHeight="1" spans="1:16">
      <c r="A728" s="279" t="s">
        <v>2573</v>
      </c>
      <c r="B728" s="41" t="s">
        <v>2574</v>
      </c>
      <c r="C728" s="287">
        <v>458</v>
      </c>
      <c r="D728" s="288">
        <f t="shared" si="149"/>
        <v>324</v>
      </c>
      <c r="E728" s="287">
        <v>221</v>
      </c>
      <c r="F728" s="287"/>
      <c r="G728" s="287">
        <v>63</v>
      </c>
      <c r="H728" s="287"/>
      <c r="I728" s="302">
        <v>40</v>
      </c>
      <c r="J728" s="303">
        <f t="shared" si="151"/>
        <v>70.74</v>
      </c>
      <c r="K728" s="294" t="s">
        <v>3555</v>
      </c>
      <c r="L728" s="44">
        <v>1</v>
      </c>
      <c r="M728" s="308" t="s">
        <v>2571</v>
      </c>
      <c r="N728" s="308"/>
      <c r="O728" s="308" t="s">
        <v>688</v>
      </c>
      <c r="P728" s="309" t="s">
        <v>4056</v>
      </c>
    </row>
    <row r="729" s="106" customFormat="1" ht="20.1" customHeight="1" spans="1:16">
      <c r="A729" s="279" t="s">
        <v>2575</v>
      </c>
      <c r="B729" s="41" t="s">
        <v>2576</v>
      </c>
      <c r="C729" s="287">
        <v>20</v>
      </c>
      <c r="D729" s="288">
        <f t="shared" si="149"/>
        <v>0</v>
      </c>
      <c r="E729" s="287"/>
      <c r="F729" s="287"/>
      <c r="G729" s="287"/>
      <c r="H729" s="287"/>
      <c r="I729" s="302"/>
      <c r="J729" s="303">
        <f t="shared" si="151"/>
        <v>-100</v>
      </c>
      <c r="K729" s="294" t="s">
        <v>3555</v>
      </c>
      <c r="L729" s="44">
        <v>1</v>
      </c>
      <c r="M729" s="308" t="s">
        <v>2573</v>
      </c>
      <c r="N729" s="308"/>
      <c r="O729" s="308" t="s">
        <v>688</v>
      </c>
      <c r="P729" s="309" t="s">
        <v>4057</v>
      </c>
    </row>
    <row r="730" s="106" customFormat="1" ht="20.1" customHeight="1" spans="1:16">
      <c r="A730" s="279" t="s">
        <v>2577</v>
      </c>
      <c r="B730" s="41" t="s">
        <v>2578</v>
      </c>
      <c r="C730" s="287">
        <v>299</v>
      </c>
      <c r="D730" s="288">
        <f t="shared" si="149"/>
        <v>215</v>
      </c>
      <c r="E730" s="287">
        <v>160</v>
      </c>
      <c r="F730" s="287"/>
      <c r="G730" s="287">
        <v>55</v>
      </c>
      <c r="H730" s="287"/>
      <c r="I730" s="302"/>
      <c r="J730" s="303">
        <f t="shared" si="151"/>
        <v>71.91</v>
      </c>
      <c r="K730" s="294" t="s">
        <v>3555</v>
      </c>
      <c r="L730" s="44">
        <v>1</v>
      </c>
      <c r="M730" s="308" t="s">
        <v>2575</v>
      </c>
      <c r="N730" s="308"/>
      <c r="O730" s="308" t="s">
        <v>688</v>
      </c>
      <c r="P730" s="309" t="s">
        <v>4058</v>
      </c>
    </row>
    <row r="731" s="106" customFormat="1" ht="20.1" customHeight="1" spans="1:16">
      <c r="A731" s="283" t="s">
        <v>690</v>
      </c>
      <c r="B731" s="323" t="s">
        <v>2579</v>
      </c>
      <c r="C731" s="285">
        <f t="shared" ref="C731:I731" si="154">SUM(C732:C734)</f>
        <v>1656</v>
      </c>
      <c r="D731" s="285">
        <f t="shared" si="149"/>
        <v>1755</v>
      </c>
      <c r="E731" s="285">
        <f t="shared" si="154"/>
        <v>793</v>
      </c>
      <c r="F731" s="285">
        <f t="shared" si="154"/>
        <v>0</v>
      </c>
      <c r="G731" s="285">
        <f t="shared" si="154"/>
        <v>7</v>
      </c>
      <c r="H731" s="285">
        <f t="shared" si="154"/>
        <v>0</v>
      </c>
      <c r="I731" s="285">
        <f t="shared" si="154"/>
        <v>955</v>
      </c>
      <c r="J731" s="324">
        <f t="shared" si="151"/>
        <v>105.98</v>
      </c>
      <c r="K731" s="294" t="s">
        <v>3555</v>
      </c>
      <c r="L731" s="44">
        <v>1</v>
      </c>
      <c r="M731" s="308" t="s">
        <v>2577</v>
      </c>
      <c r="N731" s="308"/>
      <c r="O731" s="308" t="s">
        <v>688</v>
      </c>
      <c r="P731" s="309" t="s">
        <v>4059</v>
      </c>
    </row>
    <row r="732" s="107" customFormat="1" ht="20.1" customHeight="1" spans="1:16">
      <c r="A732" s="279" t="s">
        <v>2580</v>
      </c>
      <c r="B732" s="41" t="s">
        <v>2581</v>
      </c>
      <c r="C732" s="287"/>
      <c r="D732" s="288">
        <f t="shared" si="149"/>
        <v>0</v>
      </c>
      <c r="E732" s="287"/>
      <c r="F732" s="287"/>
      <c r="G732" s="287"/>
      <c r="H732" s="287"/>
      <c r="I732" s="302"/>
      <c r="J732" s="303">
        <f t="shared" si="151"/>
        <v>0</v>
      </c>
      <c r="K732" s="300" t="s">
        <v>3551</v>
      </c>
      <c r="L732" s="301"/>
      <c r="M732" s="312" t="s">
        <v>690</v>
      </c>
      <c r="N732" s="312" t="s">
        <v>680</v>
      </c>
      <c r="O732" s="312" t="s">
        <v>690</v>
      </c>
      <c r="P732" s="313" t="s">
        <v>4060</v>
      </c>
    </row>
    <row r="733" s="106" customFormat="1" ht="20.1" customHeight="1" spans="1:16">
      <c r="A733" s="279" t="s">
        <v>2582</v>
      </c>
      <c r="B733" s="41" t="s">
        <v>2583</v>
      </c>
      <c r="C733" s="287">
        <v>87</v>
      </c>
      <c r="D733" s="288">
        <f t="shared" si="149"/>
        <v>892</v>
      </c>
      <c r="E733" s="287">
        <v>793</v>
      </c>
      <c r="F733" s="287"/>
      <c r="G733" s="287"/>
      <c r="H733" s="287"/>
      <c r="I733" s="302">
        <v>99</v>
      </c>
      <c r="J733" s="303">
        <f t="shared" si="151"/>
        <v>1025.29</v>
      </c>
      <c r="K733" s="294" t="s">
        <v>3555</v>
      </c>
      <c r="L733" s="44">
        <v>1</v>
      </c>
      <c r="M733" s="308" t="s">
        <v>2580</v>
      </c>
      <c r="N733" s="308"/>
      <c r="O733" s="308" t="s">
        <v>690</v>
      </c>
      <c r="P733" s="309" t="s">
        <v>4061</v>
      </c>
    </row>
    <row r="734" s="106" customFormat="1" ht="20.1" customHeight="1" spans="1:16">
      <c r="A734" s="279" t="s">
        <v>2584</v>
      </c>
      <c r="B734" s="41" t="s">
        <v>2585</v>
      </c>
      <c r="C734" s="287">
        <v>1569</v>
      </c>
      <c r="D734" s="288">
        <f t="shared" si="149"/>
        <v>863</v>
      </c>
      <c r="E734" s="287"/>
      <c r="F734" s="287"/>
      <c r="G734" s="287">
        <v>7</v>
      </c>
      <c r="H734" s="287"/>
      <c r="I734" s="302">
        <v>856</v>
      </c>
      <c r="J734" s="303">
        <f t="shared" si="151"/>
        <v>55</v>
      </c>
      <c r="K734" s="294" t="s">
        <v>3555</v>
      </c>
      <c r="L734" s="44">
        <v>1</v>
      </c>
      <c r="M734" s="308" t="s">
        <v>2582</v>
      </c>
      <c r="N734" s="308"/>
      <c r="O734" s="308" t="s">
        <v>690</v>
      </c>
      <c r="P734" s="309" t="s">
        <v>4062</v>
      </c>
    </row>
    <row r="735" s="106" customFormat="1" ht="20.1" customHeight="1" spans="1:16">
      <c r="A735" s="283" t="s">
        <v>692</v>
      </c>
      <c r="B735" s="323" t="s">
        <v>2586</v>
      </c>
      <c r="C735" s="285">
        <f t="shared" ref="C735:I735" si="155">SUM(C736:C739)</f>
        <v>5677</v>
      </c>
      <c r="D735" s="285">
        <f t="shared" si="149"/>
        <v>4221</v>
      </c>
      <c r="E735" s="285">
        <f t="shared" si="155"/>
        <v>0</v>
      </c>
      <c r="F735" s="285">
        <f t="shared" si="155"/>
        <v>0</v>
      </c>
      <c r="G735" s="285">
        <f t="shared" si="155"/>
        <v>0</v>
      </c>
      <c r="H735" s="285">
        <f t="shared" si="155"/>
        <v>0</v>
      </c>
      <c r="I735" s="285">
        <f t="shared" si="155"/>
        <v>4221</v>
      </c>
      <c r="J735" s="324">
        <f t="shared" si="151"/>
        <v>74.35</v>
      </c>
      <c r="K735" s="294" t="s">
        <v>3555</v>
      </c>
      <c r="L735" s="44">
        <v>1</v>
      </c>
      <c r="M735" s="308" t="s">
        <v>2584</v>
      </c>
      <c r="N735" s="308"/>
      <c r="O735" s="308" t="s">
        <v>690</v>
      </c>
      <c r="P735" s="309" t="s">
        <v>4063</v>
      </c>
    </row>
    <row r="736" s="107" customFormat="1" ht="20.1" customHeight="1" spans="1:16">
      <c r="A736" s="279" t="s">
        <v>2587</v>
      </c>
      <c r="B736" s="41" t="s">
        <v>2588</v>
      </c>
      <c r="C736" s="287">
        <v>1452</v>
      </c>
      <c r="D736" s="288">
        <f t="shared" si="149"/>
        <v>1530</v>
      </c>
      <c r="E736" s="287"/>
      <c r="F736" s="287"/>
      <c r="G736" s="287"/>
      <c r="H736" s="287"/>
      <c r="I736" s="302">
        <v>1530</v>
      </c>
      <c r="J736" s="303">
        <f t="shared" si="151"/>
        <v>105.37</v>
      </c>
      <c r="K736" s="300" t="s">
        <v>3551</v>
      </c>
      <c r="L736" s="301"/>
      <c r="M736" s="312" t="s">
        <v>692</v>
      </c>
      <c r="N736" s="312" t="s">
        <v>680</v>
      </c>
      <c r="O736" s="312" t="s">
        <v>692</v>
      </c>
      <c r="P736" s="313" t="s">
        <v>4064</v>
      </c>
    </row>
    <row r="737" s="106" customFormat="1" ht="20.1" customHeight="1" spans="1:16">
      <c r="A737" s="279" t="s">
        <v>2589</v>
      </c>
      <c r="B737" s="41" t="s">
        <v>2590</v>
      </c>
      <c r="C737" s="287">
        <v>3380</v>
      </c>
      <c r="D737" s="288">
        <f t="shared" si="149"/>
        <v>1175</v>
      </c>
      <c r="E737" s="287"/>
      <c r="F737" s="287"/>
      <c r="G737" s="287"/>
      <c r="H737" s="287"/>
      <c r="I737" s="302">
        <v>1175</v>
      </c>
      <c r="J737" s="303">
        <f t="shared" si="151"/>
        <v>34.76</v>
      </c>
      <c r="K737" s="294" t="s">
        <v>3555</v>
      </c>
      <c r="L737" s="44">
        <v>1</v>
      </c>
      <c r="M737" s="308" t="s">
        <v>2587</v>
      </c>
      <c r="N737" s="308"/>
      <c r="O737" s="308" t="s">
        <v>692</v>
      </c>
      <c r="P737" s="309" t="s">
        <v>4065</v>
      </c>
    </row>
    <row r="738" s="106" customFormat="1" ht="20.1" customHeight="1" spans="1:16">
      <c r="A738" s="279" t="s">
        <v>2591</v>
      </c>
      <c r="B738" s="41" t="s">
        <v>2592</v>
      </c>
      <c r="C738" s="287">
        <v>835</v>
      </c>
      <c r="D738" s="288">
        <f t="shared" si="149"/>
        <v>1506</v>
      </c>
      <c r="E738" s="287"/>
      <c r="F738" s="287"/>
      <c r="G738" s="287"/>
      <c r="H738" s="287"/>
      <c r="I738" s="302">
        <v>1506</v>
      </c>
      <c r="J738" s="303">
        <f t="shared" si="151"/>
        <v>180.36</v>
      </c>
      <c r="K738" s="294" t="s">
        <v>3555</v>
      </c>
      <c r="L738" s="44">
        <v>1</v>
      </c>
      <c r="M738" s="308" t="s">
        <v>2589</v>
      </c>
      <c r="N738" s="308"/>
      <c r="O738" s="308" t="s">
        <v>692</v>
      </c>
      <c r="P738" s="309" t="s">
        <v>4066</v>
      </c>
    </row>
    <row r="739" s="106" customFormat="1" ht="20.1" customHeight="1" spans="1:16">
      <c r="A739" s="279" t="s">
        <v>2593</v>
      </c>
      <c r="B739" s="41" t="s">
        <v>2594</v>
      </c>
      <c r="C739" s="287">
        <v>10</v>
      </c>
      <c r="D739" s="288">
        <f t="shared" si="149"/>
        <v>10</v>
      </c>
      <c r="E739" s="287"/>
      <c r="F739" s="287"/>
      <c r="G739" s="287"/>
      <c r="H739" s="287"/>
      <c r="I739" s="302">
        <v>10</v>
      </c>
      <c r="J739" s="303">
        <f t="shared" si="151"/>
        <v>100</v>
      </c>
      <c r="K739" s="294" t="s">
        <v>3555</v>
      </c>
      <c r="L739" s="44">
        <v>1</v>
      </c>
      <c r="M739" s="308" t="s">
        <v>2591</v>
      </c>
      <c r="N739" s="308"/>
      <c r="O739" s="308" t="s">
        <v>692</v>
      </c>
      <c r="P739" s="309" t="s">
        <v>4067</v>
      </c>
    </row>
    <row r="740" s="106" customFormat="1" ht="20.1" customHeight="1" spans="1:16">
      <c r="A740" s="283" t="s">
        <v>694</v>
      </c>
      <c r="B740" s="323" t="s">
        <v>2595</v>
      </c>
      <c r="C740" s="285">
        <f t="shared" ref="C740:I740" si="156">SUM(C741:C743)</f>
        <v>1100</v>
      </c>
      <c r="D740" s="285">
        <f t="shared" si="149"/>
        <v>1150</v>
      </c>
      <c r="E740" s="285">
        <f t="shared" si="156"/>
        <v>0</v>
      </c>
      <c r="F740" s="285">
        <f t="shared" si="156"/>
        <v>0</v>
      </c>
      <c r="G740" s="285">
        <f t="shared" si="156"/>
        <v>0</v>
      </c>
      <c r="H740" s="285">
        <f t="shared" si="156"/>
        <v>1150</v>
      </c>
      <c r="I740" s="285">
        <f t="shared" si="156"/>
        <v>0</v>
      </c>
      <c r="J740" s="324">
        <f t="shared" si="151"/>
        <v>104.55</v>
      </c>
      <c r="K740" s="294" t="s">
        <v>3555</v>
      </c>
      <c r="L740" s="44">
        <v>1</v>
      </c>
      <c r="M740" s="308" t="s">
        <v>2593</v>
      </c>
      <c r="N740" s="308"/>
      <c r="O740" s="308" t="s">
        <v>692</v>
      </c>
      <c r="P740" s="309" t="s">
        <v>4068</v>
      </c>
    </row>
    <row r="741" s="107" customFormat="1" ht="20.1" customHeight="1" spans="1:16">
      <c r="A741" s="279" t="s">
        <v>2596</v>
      </c>
      <c r="B741" s="41" t="s">
        <v>2597</v>
      </c>
      <c r="C741" s="287"/>
      <c r="D741" s="288">
        <f t="shared" si="149"/>
        <v>0</v>
      </c>
      <c r="E741" s="287"/>
      <c r="F741" s="287"/>
      <c r="G741" s="287"/>
      <c r="H741" s="287"/>
      <c r="I741" s="302"/>
      <c r="J741" s="303">
        <f t="shared" si="151"/>
        <v>0</v>
      </c>
      <c r="K741" s="300" t="s">
        <v>3551</v>
      </c>
      <c r="L741" s="301"/>
      <c r="M741" s="312" t="s">
        <v>694</v>
      </c>
      <c r="N741" s="312" t="s">
        <v>680</v>
      </c>
      <c r="O741" s="312" t="s">
        <v>694</v>
      </c>
      <c r="P741" s="313" t="s">
        <v>4069</v>
      </c>
    </row>
    <row r="742" s="106" customFormat="1" ht="20.1" customHeight="1" spans="1:16">
      <c r="A742" s="279" t="s">
        <v>2598</v>
      </c>
      <c r="B742" s="41" t="s">
        <v>2599</v>
      </c>
      <c r="C742" s="287">
        <v>1100</v>
      </c>
      <c r="D742" s="288">
        <f t="shared" si="149"/>
        <v>1150</v>
      </c>
      <c r="E742" s="287"/>
      <c r="F742" s="287"/>
      <c r="G742" s="287"/>
      <c r="H742" s="287">
        <v>1150</v>
      </c>
      <c r="I742" s="302"/>
      <c r="J742" s="303">
        <f t="shared" si="151"/>
        <v>104.55</v>
      </c>
      <c r="K742" s="294" t="s">
        <v>3555</v>
      </c>
      <c r="L742" s="44">
        <v>1</v>
      </c>
      <c r="M742" s="308" t="s">
        <v>2596</v>
      </c>
      <c r="N742" s="308"/>
      <c r="O742" s="308" t="s">
        <v>694</v>
      </c>
      <c r="P742" s="309" t="s">
        <v>4070</v>
      </c>
    </row>
    <row r="743" s="106" customFormat="1" ht="20.1" customHeight="1" spans="1:16">
      <c r="A743" s="279" t="s">
        <v>2600</v>
      </c>
      <c r="B743" s="41" t="s">
        <v>2601</v>
      </c>
      <c r="C743" s="287"/>
      <c r="D743" s="288">
        <f t="shared" si="149"/>
        <v>0</v>
      </c>
      <c r="E743" s="287"/>
      <c r="F743" s="287"/>
      <c r="G743" s="287"/>
      <c r="H743" s="287"/>
      <c r="I743" s="302"/>
      <c r="J743" s="303">
        <f t="shared" si="151"/>
        <v>0</v>
      </c>
      <c r="K743" s="294" t="s">
        <v>3555</v>
      </c>
      <c r="L743" s="44">
        <v>1</v>
      </c>
      <c r="M743" s="308" t="s">
        <v>2598</v>
      </c>
      <c r="N743" s="308"/>
      <c r="O743" s="308" t="s">
        <v>694</v>
      </c>
      <c r="P743" s="309" t="s">
        <v>4071</v>
      </c>
    </row>
    <row r="744" s="106" customFormat="1" ht="20.1" customHeight="1" spans="1:16">
      <c r="A744" s="283" t="s">
        <v>696</v>
      </c>
      <c r="B744" s="323" t="s">
        <v>2602</v>
      </c>
      <c r="C744" s="285">
        <f t="shared" ref="C744:I744" si="157">SUM(C745:C747)</f>
        <v>3196</v>
      </c>
      <c r="D744" s="285">
        <f t="shared" si="149"/>
        <v>3392</v>
      </c>
      <c r="E744" s="285">
        <f t="shared" si="157"/>
        <v>2582</v>
      </c>
      <c r="F744" s="285">
        <f t="shared" si="157"/>
        <v>0</v>
      </c>
      <c r="G744" s="285">
        <f t="shared" si="157"/>
        <v>0</v>
      </c>
      <c r="H744" s="285">
        <f t="shared" si="157"/>
        <v>0</v>
      </c>
      <c r="I744" s="285">
        <f t="shared" si="157"/>
        <v>810</v>
      </c>
      <c r="J744" s="324">
        <f t="shared" si="151"/>
        <v>106.13</v>
      </c>
      <c r="K744" s="294" t="s">
        <v>3555</v>
      </c>
      <c r="L744" s="44">
        <v>1</v>
      </c>
      <c r="M744" s="308" t="s">
        <v>2600</v>
      </c>
      <c r="N744" s="308"/>
      <c r="O744" s="308" t="s">
        <v>694</v>
      </c>
      <c r="P744" s="309" t="s">
        <v>4072</v>
      </c>
    </row>
    <row r="745" s="107" customFormat="1" ht="20.1" customHeight="1" spans="1:16">
      <c r="A745" s="279" t="s">
        <v>2603</v>
      </c>
      <c r="B745" s="41" t="s">
        <v>2604</v>
      </c>
      <c r="C745" s="287">
        <v>3196</v>
      </c>
      <c r="D745" s="288">
        <f t="shared" si="149"/>
        <v>3392</v>
      </c>
      <c r="E745" s="287">
        <v>2582</v>
      </c>
      <c r="F745" s="287"/>
      <c r="G745" s="287"/>
      <c r="H745" s="287"/>
      <c r="I745" s="302">
        <v>810</v>
      </c>
      <c r="J745" s="303">
        <f t="shared" si="151"/>
        <v>106.13</v>
      </c>
      <c r="K745" s="300" t="s">
        <v>3551</v>
      </c>
      <c r="L745" s="301"/>
      <c r="M745" s="312" t="s">
        <v>696</v>
      </c>
      <c r="N745" s="312" t="s">
        <v>680</v>
      </c>
      <c r="O745" s="312" t="s">
        <v>696</v>
      </c>
      <c r="P745" s="313" t="s">
        <v>4073</v>
      </c>
    </row>
    <row r="746" s="106" customFormat="1" ht="20.1" customHeight="1" spans="1:16">
      <c r="A746" s="279" t="s">
        <v>2605</v>
      </c>
      <c r="B746" s="41" t="s">
        <v>2606</v>
      </c>
      <c r="C746" s="287"/>
      <c r="D746" s="288">
        <f t="shared" si="149"/>
        <v>0</v>
      </c>
      <c r="E746" s="287"/>
      <c r="F746" s="287"/>
      <c r="G746" s="287"/>
      <c r="H746" s="287"/>
      <c r="I746" s="302"/>
      <c r="J746" s="303">
        <f t="shared" si="151"/>
        <v>0</v>
      </c>
      <c r="K746" s="294" t="s">
        <v>3555</v>
      </c>
      <c r="L746" s="44">
        <v>1</v>
      </c>
      <c r="M746" s="308" t="s">
        <v>2603</v>
      </c>
      <c r="N746" s="308"/>
      <c r="O746" s="308" t="s">
        <v>696</v>
      </c>
      <c r="P746" s="309" t="s">
        <v>4074</v>
      </c>
    </row>
    <row r="747" s="106" customFormat="1" ht="20.1" customHeight="1" spans="1:16">
      <c r="A747" s="279" t="s">
        <v>2607</v>
      </c>
      <c r="B747" s="41" t="s">
        <v>2608</v>
      </c>
      <c r="C747" s="287"/>
      <c r="D747" s="288">
        <f t="shared" si="149"/>
        <v>0</v>
      </c>
      <c r="E747" s="287"/>
      <c r="F747" s="287"/>
      <c r="G747" s="287"/>
      <c r="H747" s="287"/>
      <c r="I747" s="302"/>
      <c r="J747" s="303">
        <f t="shared" si="151"/>
        <v>0</v>
      </c>
      <c r="K747" s="294" t="s">
        <v>3555</v>
      </c>
      <c r="L747" s="44">
        <v>1</v>
      </c>
      <c r="M747" s="308" t="s">
        <v>2605</v>
      </c>
      <c r="N747" s="308"/>
      <c r="O747" s="308" t="s">
        <v>696</v>
      </c>
      <c r="P747" s="309" t="s">
        <v>4075</v>
      </c>
    </row>
    <row r="748" s="106" customFormat="1" ht="20.1" customHeight="1" spans="1:16">
      <c r="A748" s="283" t="s">
        <v>698</v>
      </c>
      <c r="B748" s="323" t="s">
        <v>2609</v>
      </c>
      <c r="C748" s="285">
        <f t="shared" ref="C748:I748" si="158">SUM(C749:C750)</f>
        <v>61</v>
      </c>
      <c r="D748" s="285">
        <f t="shared" si="149"/>
        <v>72</v>
      </c>
      <c r="E748" s="285">
        <f t="shared" si="158"/>
        <v>72</v>
      </c>
      <c r="F748" s="285">
        <f t="shared" si="158"/>
        <v>0</v>
      </c>
      <c r="G748" s="285">
        <f t="shared" si="158"/>
        <v>0</v>
      </c>
      <c r="H748" s="285">
        <f t="shared" si="158"/>
        <v>0</v>
      </c>
      <c r="I748" s="285">
        <f t="shared" si="158"/>
        <v>0</v>
      </c>
      <c r="J748" s="324">
        <f t="shared" si="151"/>
        <v>118.03</v>
      </c>
      <c r="K748" s="294" t="s">
        <v>3555</v>
      </c>
      <c r="L748" s="44">
        <v>1</v>
      </c>
      <c r="M748" s="308" t="s">
        <v>2607</v>
      </c>
      <c r="N748" s="308"/>
      <c r="O748" s="308" t="s">
        <v>696</v>
      </c>
      <c r="P748" s="309" t="s">
        <v>4076</v>
      </c>
    </row>
    <row r="749" s="107" customFormat="1" ht="20.1" customHeight="1" spans="1:16">
      <c r="A749" s="279" t="s">
        <v>2610</v>
      </c>
      <c r="B749" s="41" t="s">
        <v>2611</v>
      </c>
      <c r="C749" s="287">
        <v>61</v>
      </c>
      <c r="D749" s="288">
        <f t="shared" si="149"/>
        <v>72</v>
      </c>
      <c r="E749" s="287">
        <v>72</v>
      </c>
      <c r="F749" s="287"/>
      <c r="G749" s="287"/>
      <c r="H749" s="287"/>
      <c r="I749" s="302"/>
      <c r="J749" s="303">
        <f t="shared" si="151"/>
        <v>118.03</v>
      </c>
      <c r="K749" s="300" t="s">
        <v>3551</v>
      </c>
      <c r="L749" s="301"/>
      <c r="M749" s="312" t="s">
        <v>698</v>
      </c>
      <c r="N749" s="312" t="s">
        <v>680</v>
      </c>
      <c r="O749" s="312" t="s">
        <v>698</v>
      </c>
      <c r="P749" s="313" t="s">
        <v>4077</v>
      </c>
    </row>
    <row r="750" s="106" customFormat="1" ht="20.1" customHeight="1" spans="1:16">
      <c r="A750" s="279" t="s">
        <v>2612</v>
      </c>
      <c r="B750" s="41" t="s">
        <v>2613</v>
      </c>
      <c r="C750" s="287">
        <v>0</v>
      </c>
      <c r="D750" s="288">
        <f t="shared" si="149"/>
        <v>0</v>
      </c>
      <c r="E750" s="287"/>
      <c r="F750" s="287"/>
      <c r="G750" s="287"/>
      <c r="H750" s="287"/>
      <c r="I750" s="302"/>
      <c r="J750" s="303">
        <f t="shared" si="151"/>
        <v>0</v>
      </c>
      <c r="K750" s="294" t="s">
        <v>3555</v>
      </c>
      <c r="L750" s="44">
        <v>1</v>
      </c>
      <c r="M750" s="308" t="s">
        <v>2610</v>
      </c>
      <c r="N750" s="308"/>
      <c r="O750" s="308" t="s">
        <v>698</v>
      </c>
      <c r="P750" s="309" t="s">
        <v>4078</v>
      </c>
    </row>
    <row r="751" s="106" customFormat="1" ht="20.1" customHeight="1" spans="1:16">
      <c r="A751" s="283" t="s">
        <v>700</v>
      </c>
      <c r="B751" s="323" t="s">
        <v>2614</v>
      </c>
      <c r="C751" s="285">
        <f t="shared" ref="C751:I751" si="159">SUM(C752:C759)</f>
        <v>636</v>
      </c>
      <c r="D751" s="285">
        <f t="shared" si="149"/>
        <v>519</v>
      </c>
      <c r="E751" s="285">
        <f t="shared" si="159"/>
        <v>42</v>
      </c>
      <c r="F751" s="285">
        <f t="shared" si="159"/>
        <v>0</v>
      </c>
      <c r="G751" s="285">
        <f t="shared" si="159"/>
        <v>0</v>
      </c>
      <c r="H751" s="285">
        <f t="shared" si="159"/>
        <v>0</v>
      </c>
      <c r="I751" s="285">
        <f t="shared" si="159"/>
        <v>477</v>
      </c>
      <c r="J751" s="324">
        <f t="shared" si="151"/>
        <v>81.6</v>
      </c>
      <c r="K751" s="294" t="s">
        <v>3555</v>
      </c>
      <c r="L751" s="44">
        <v>1</v>
      </c>
      <c r="M751" s="308" t="s">
        <v>2612</v>
      </c>
      <c r="N751" s="308"/>
      <c r="O751" s="308" t="s">
        <v>698</v>
      </c>
      <c r="P751" s="309" t="s">
        <v>4079</v>
      </c>
    </row>
    <row r="752" s="107" customFormat="1" ht="20.1" customHeight="1" spans="1:16">
      <c r="A752" s="279" t="s">
        <v>2615</v>
      </c>
      <c r="B752" s="41" t="s">
        <v>1458</v>
      </c>
      <c r="C752" s="287">
        <v>101</v>
      </c>
      <c r="D752" s="288">
        <f t="shared" si="149"/>
        <v>102</v>
      </c>
      <c r="E752" s="287"/>
      <c r="F752" s="287"/>
      <c r="G752" s="287"/>
      <c r="H752" s="287"/>
      <c r="I752" s="302">
        <v>102</v>
      </c>
      <c r="J752" s="303">
        <f t="shared" si="151"/>
        <v>100.99</v>
      </c>
      <c r="K752" s="300" t="s">
        <v>3551</v>
      </c>
      <c r="L752" s="301"/>
      <c r="M752" s="312" t="s">
        <v>700</v>
      </c>
      <c r="N752" s="312" t="s">
        <v>680</v>
      </c>
      <c r="O752" s="312" t="s">
        <v>700</v>
      </c>
      <c r="P752" s="313" t="s">
        <v>4080</v>
      </c>
    </row>
    <row r="753" s="106" customFormat="1" ht="20.1" customHeight="1" spans="1:16">
      <c r="A753" s="279" t="s">
        <v>2616</v>
      </c>
      <c r="B753" s="41" t="s">
        <v>1460</v>
      </c>
      <c r="C753" s="287"/>
      <c r="D753" s="288">
        <f t="shared" si="149"/>
        <v>0</v>
      </c>
      <c r="E753" s="287"/>
      <c r="F753" s="287"/>
      <c r="G753" s="287"/>
      <c r="H753" s="287"/>
      <c r="I753" s="302"/>
      <c r="J753" s="303">
        <f t="shared" si="151"/>
        <v>0</v>
      </c>
      <c r="K753" s="294" t="s">
        <v>3555</v>
      </c>
      <c r="L753" s="44">
        <v>1</v>
      </c>
      <c r="M753" s="308" t="s">
        <v>2615</v>
      </c>
      <c r="N753" s="308"/>
      <c r="O753" s="308" t="s">
        <v>700</v>
      </c>
      <c r="P753" s="314" t="s">
        <v>3556</v>
      </c>
    </row>
    <row r="754" s="106" customFormat="1" ht="20.1" customHeight="1" spans="1:16">
      <c r="A754" s="279" t="s">
        <v>2617</v>
      </c>
      <c r="B754" s="41" t="s">
        <v>1462</v>
      </c>
      <c r="C754" s="287"/>
      <c r="D754" s="288">
        <f t="shared" si="149"/>
        <v>0</v>
      </c>
      <c r="E754" s="287"/>
      <c r="F754" s="287"/>
      <c r="G754" s="287"/>
      <c r="H754" s="287"/>
      <c r="I754" s="302"/>
      <c r="J754" s="303">
        <f t="shared" si="151"/>
        <v>0</v>
      </c>
      <c r="K754" s="294" t="s">
        <v>3555</v>
      </c>
      <c r="L754" s="44">
        <v>1</v>
      </c>
      <c r="M754" s="308" t="s">
        <v>2616</v>
      </c>
      <c r="N754" s="308"/>
      <c r="O754" s="308" t="s">
        <v>700</v>
      </c>
      <c r="P754" s="314" t="s">
        <v>3557</v>
      </c>
    </row>
    <row r="755" s="106" customFormat="1" ht="20.1" customHeight="1" spans="1:16">
      <c r="A755" s="279" t="s">
        <v>2618</v>
      </c>
      <c r="B755" s="41" t="s">
        <v>1553</v>
      </c>
      <c r="C755" s="287"/>
      <c r="D755" s="288">
        <f t="shared" si="149"/>
        <v>0</v>
      </c>
      <c r="E755" s="287"/>
      <c r="F755" s="287"/>
      <c r="G755" s="287"/>
      <c r="H755" s="287"/>
      <c r="I755" s="302"/>
      <c r="J755" s="303">
        <f t="shared" si="151"/>
        <v>0</v>
      </c>
      <c r="K755" s="294" t="s">
        <v>3555</v>
      </c>
      <c r="L755" s="44">
        <v>1</v>
      </c>
      <c r="M755" s="308" t="s">
        <v>2617</v>
      </c>
      <c r="N755" s="308"/>
      <c r="O755" s="308" t="s">
        <v>700</v>
      </c>
      <c r="P755" s="314" t="s">
        <v>3558</v>
      </c>
    </row>
    <row r="756" s="106" customFormat="1" ht="20.1" customHeight="1" spans="1:16">
      <c r="A756" s="279" t="s">
        <v>2619</v>
      </c>
      <c r="B756" s="41" t="s">
        <v>2620</v>
      </c>
      <c r="C756" s="287"/>
      <c r="D756" s="288">
        <f t="shared" si="149"/>
        <v>0</v>
      </c>
      <c r="E756" s="287"/>
      <c r="F756" s="287"/>
      <c r="G756" s="287"/>
      <c r="H756" s="287"/>
      <c r="I756" s="302"/>
      <c r="J756" s="303">
        <f t="shared" si="151"/>
        <v>0</v>
      </c>
      <c r="K756" s="294" t="s">
        <v>3555</v>
      </c>
      <c r="L756" s="44">
        <v>1</v>
      </c>
      <c r="M756" s="308" t="s">
        <v>2618</v>
      </c>
      <c r="N756" s="308"/>
      <c r="O756" s="308" t="s">
        <v>700</v>
      </c>
      <c r="P756" s="314" t="s">
        <v>3596</v>
      </c>
    </row>
    <row r="757" s="106" customFormat="1" ht="20.1" customHeight="1" spans="1:16">
      <c r="A757" s="279" t="s">
        <v>2621</v>
      </c>
      <c r="B757" s="41" t="s">
        <v>2622</v>
      </c>
      <c r="C757" s="287">
        <v>182</v>
      </c>
      <c r="D757" s="288">
        <f t="shared" si="149"/>
        <v>43</v>
      </c>
      <c r="E757" s="287">
        <v>42</v>
      </c>
      <c r="F757" s="287"/>
      <c r="G757" s="287"/>
      <c r="H757" s="287"/>
      <c r="I757" s="302">
        <v>1</v>
      </c>
      <c r="J757" s="303">
        <f t="shared" si="151"/>
        <v>23.63</v>
      </c>
      <c r="K757" s="294" t="s">
        <v>3555</v>
      </c>
      <c r="L757" s="44">
        <v>1</v>
      </c>
      <c r="M757" s="308" t="s">
        <v>2619</v>
      </c>
      <c r="N757" s="308"/>
      <c r="O757" s="308" t="s">
        <v>700</v>
      </c>
      <c r="P757" s="314" t="s">
        <v>4081</v>
      </c>
    </row>
    <row r="758" s="106" customFormat="1" ht="20.1" customHeight="1" spans="1:16">
      <c r="A758" s="279" t="s">
        <v>2623</v>
      </c>
      <c r="B758" s="41" t="s">
        <v>1476</v>
      </c>
      <c r="C758" s="287">
        <v>353</v>
      </c>
      <c r="D758" s="288">
        <f t="shared" si="149"/>
        <v>374</v>
      </c>
      <c r="E758" s="287"/>
      <c r="F758" s="287"/>
      <c r="G758" s="287"/>
      <c r="H758" s="287"/>
      <c r="I758" s="302">
        <v>374</v>
      </c>
      <c r="J758" s="303">
        <f t="shared" si="151"/>
        <v>105.95</v>
      </c>
      <c r="K758" s="294" t="s">
        <v>3555</v>
      </c>
      <c r="L758" s="44">
        <v>1</v>
      </c>
      <c r="M758" s="308" t="s">
        <v>2621</v>
      </c>
      <c r="N758" s="308"/>
      <c r="O758" s="308" t="s">
        <v>700</v>
      </c>
      <c r="P758" s="314" t="s">
        <v>4082</v>
      </c>
    </row>
    <row r="759" s="106" customFormat="1" ht="20.1" customHeight="1" spans="1:16">
      <c r="A759" s="279" t="s">
        <v>2624</v>
      </c>
      <c r="B759" s="41" t="s">
        <v>2625</v>
      </c>
      <c r="C759" s="287"/>
      <c r="D759" s="288">
        <f t="shared" si="149"/>
        <v>0</v>
      </c>
      <c r="E759" s="287"/>
      <c r="F759" s="287"/>
      <c r="G759" s="287"/>
      <c r="H759" s="287"/>
      <c r="I759" s="302"/>
      <c r="J759" s="303">
        <f t="shared" si="151"/>
        <v>0</v>
      </c>
      <c r="K759" s="294" t="s">
        <v>3555</v>
      </c>
      <c r="L759" s="44">
        <v>1</v>
      </c>
      <c r="M759" s="308" t="s">
        <v>2623</v>
      </c>
      <c r="N759" s="308"/>
      <c r="O759" s="308" t="s">
        <v>700</v>
      </c>
      <c r="P759" s="314" t="s">
        <v>3565</v>
      </c>
    </row>
    <row r="760" s="106" customFormat="1" ht="20.1" customHeight="1" spans="1:16">
      <c r="A760" s="283" t="s">
        <v>702</v>
      </c>
      <c r="B760" s="323" t="s">
        <v>2626</v>
      </c>
      <c r="C760" s="285">
        <f t="shared" ref="C760:I760" si="160">SUM(C761:C766)</f>
        <v>48</v>
      </c>
      <c r="D760" s="285">
        <f t="shared" si="149"/>
        <v>175</v>
      </c>
      <c r="E760" s="285">
        <f t="shared" si="160"/>
        <v>0</v>
      </c>
      <c r="F760" s="285">
        <f t="shared" si="160"/>
        <v>0</v>
      </c>
      <c r="G760" s="285">
        <f t="shared" si="160"/>
        <v>175</v>
      </c>
      <c r="H760" s="285">
        <f t="shared" si="160"/>
        <v>0</v>
      </c>
      <c r="I760" s="285">
        <f t="shared" si="160"/>
        <v>0</v>
      </c>
      <c r="J760" s="324">
        <f t="shared" si="151"/>
        <v>364.58</v>
      </c>
      <c r="K760" s="294" t="s">
        <v>3555</v>
      </c>
      <c r="L760" s="44">
        <v>1</v>
      </c>
      <c r="M760" s="308" t="s">
        <v>2624</v>
      </c>
      <c r="N760" s="308"/>
      <c r="O760" s="308" t="s">
        <v>700</v>
      </c>
      <c r="P760" s="314" t="s">
        <v>4083</v>
      </c>
    </row>
    <row r="761" s="107" customFormat="1" ht="20.1" customHeight="1" spans="1:16">
      <c r="A761" s="279" t="s">
        <v>2627</v>
      </c>
      <c r="B761" s="41" t="s">
        <v>1458</v>
      </c>
      <c r="C761" s="287"/>
      <c r="D761" s="288">
        <f t="shared" ref="D761:D777" si="161">SUM(E761:I761)</f>
        <v>0</v>
      </c>
      <c r="E761" s="287"/>
      <c r="F761" s="287"/>
      <c r="G761" s="287"/>
      <c r="H761" s="287"/>
      <c r="I761" s="302"/>
      <c r="J761" s="303">
        <f t="shared" si="151"/>
        <v>0</v>
      </c>
      <c r="K761" s="300" t="s">
        <v>3551</v>
      </c>
      <c r="L761" s="301"/>
      <c r="M761" s="312" t="s">
        <v>702</v>
      </c>
      <c r="N761" s="312" t="s">
        <v>680</v>
      </c>
      <c r="O761" s="312" t="s">
        <v>702</v>
      </c>
      <c r="P761" s="313" t="s">
        <v>4084</v>
      </c>
    </row>
    <row r="762" s="106" customFormat="1" ht="20.1" customHeight="1" spans="1:16">
      <c r="A762" s="279" t="s">
        <v>2628</v>
      </c>
      <c r="B762" s="41" t="s">
        <v>1460</v>
      </c>
      <c r="C762" s="287"/>
      <c r="D762" s="288">
        <f t="shared" si="161"/>
        <v>0</v>
      </c>
      <c r="E762" s="287"/>
      <c r="F762" s="287"/>
      <c r="G762" s="287"/>
      <c r="H762" s="287"/>
      <c r="I762" s="302"/>
      <c r="J762" s="303"/>
      <c r="K762" s="294" t="s">
        <v>3555</v>
      </c>
      <c r="L762" s="44">
        <v>1</v>
      </c>
      <c r="M762" s="308" t="s">
        <v>2627</v>
      </c>
      <c r="N762" s="308"/>
      <c r="O762" s="308" t="s">
        <v>702</v>
      </c>
      <c r="P762" s="340" t="s">
        <v>3556</v>
      </c>
    </row>
    <row r="763" s="106" customFormat="1" ht="20.1" customHeight="1" spans="1:16">
      <c r="A763" s="279" t="s">
        <v>2629</v>
      </c>
      <c r="B763" s="41" t="s">
        <v>1462</v>
      </c>
      <c r="C763" s="287"/>
      <c r="D763" s="288">
        <f t="shared" si="161"/>
        <v>0</v>
      </c>
      <c r="E763" s="287"/>
      <c r="F763" s="287"/>
      <c r="G763" s="287"/>
      <c r="H763" s="287"/>
      <c r="I763" s="302"/>
      <c r="J763" s="303"/>
      <c r="K763" s="294" t="s">
        <v>3555</v>
      </c>
      <c r="L763" s="44">
        <v>1</v>
      </c>
      <c r="M763" s="308" t="s">
        <v>2628</v>
      </c>
      <c r="N763" s="308"/>
      <c r="O763" s="308" t="s">
        <v>702</v>
      </c>
      <c r="P763" s="340" t="s">
        <v>3557</v>
      </c>
    </row>
    <row r="764" s="106" customFormat="1" ht="20.1" customHeight="1" spans="1:16">
      <c r="A764" s="279" t="s">
        <v>2630</v>
      </c>
      <c r="B764" s="41" t="s">
        <v>2631</v>
      </c>
      <c r="C764" s="287">
        <v>48</v>
      </c>
      <c r="D764" s="288">
        <f t="shared" si="161"/>
        <v>150</v>
      </c>
      <c r="E764" s="287"/>
      <c r="F764" s="287"/>
      <c r="G764" s="287">
        <v>150</v>
      </c>
      <c r="H764" s="287"/>
      <c r="I764" s="302"/>
      <c r="J764" s="303"/>
      <c r="K764" s="294" t="s">
        <v>3555</v>
      </c>
      <c r="L764" s="44">
        <v>1</v>
      </c>
      <c r="M764" s="308" t="s">
        <v>2629</v>
      </c>
      <c r="N764" s="308"/>
      <c r="O764" s="308" t="s">
        <v>702</v>
      </c>
      <c r="P764" s="340" t="s">
        <v>3558</v>
      </c>
    </row>
    <row r="765" s="106" customFormat="1" ht="20.1" customHeight="1" spans="1:16">
      <c r="A765" s="279" t="s">
        <v>2632</v>
      </c>
      <c r="B765" s="41" t="s">
        <v>1476</v>
      </c>
      <c r="C765" s="287"/>
      <c r="D765" s="288">
        <f t="shared" si="161"/>
        <v>0</v>
      </c>
      <c r="E765" s="287"/>
      <c r="F765" s="287"/>
      <c r="G765" s="287"/>
      <c r="H765" s="287"/>
      <c r="I765" s="302"/>
      <c r="J765" s="303"/>
      <c r="K765" s="294" t="s">
        <v>3555</v>
      </c>
      <c r="L765" s="44">
        <v>1</v>
      </c>
      <c r="M765" s="308" t="s">
        <v>2630</v>
      </c>
      <c r="N765" s="308"/>
      <c r="O765" s="308" t="s">
        <v>702</v>
      </c>
      <c r="P765" s="340" t="s">
        <v>4085</v>
      </c>
    </row>
    <row r="766" s="106" customFormat="1" ht="20.1" customHeight="1" spans="1:16">
      <c r="A766" s="279" t="s">
        <v>2633</v>
      </c>
      <c r="B766" s="41" t="s">
        <v>2634</v>
      </c>
      <c r="C766" s="287"/>
      <c r="D766" s="288">
        <f t="shared" si="161"/>
        <v>25</v>
      </c>
      <c r="E766" s="287"/>
      <c r="F766" s="287"/>
      <c r="G766" s="287">
        <v>25</v>
      </c>
      <c r="H766" s="287"/>
      <c r="I766" s="302"/>
      <c r="J766" s="303">
        <f t="shared" ref="J766:J768" si="162">ROUND(IF(C766=0,IF(D766=0,0,1),IF(D766=0,-1,D766/C766)),4)*100</f>
        <v>100</v>
      </c>
      <c r="K766" s="294" t="s">
        <v>3555</v>
      </c>
      <c r="L766" s="44">
        <v>1</v>
      </c>
      <c r="M766" s="308" t="s">
        <v>2632</v>
      </c>
      <c r="N766" s="308"/>
      <c r="O766" s="308" t="s">
        <v>702</v>
      </c>
      <c r="P766" s="340" t="s">
        <v>3565</v>
      </c>
    </row>
    <row r="767" s="106" customFormat="1" ht="20.1" customHeight="1" spans="1:16">
      <c r="A767" s="283" t="s">
        <v>704</v>
      </c>
      <c r="B767" s="323" t="s">
        <v>2635</v>
      </c>
      <c r="C767" s="285">
        <f t="shared" ref="C767:I767" si="163">SUM(C768:C771)</f>
        <v>0</v>
      </c>
      <c r="D767" s="285">
        <f t="shared" si="161"/>
        <v>0</v>
      </c>
      <c r="E767" s="285">
        <f t="shared" si="163"/>
        <v>0</v>
      </c>
      <c r="F767" s="285">
        <f t="shared" si="163"/>
        <v>0</v>
      </c>
      <c r="G767" s="285">
        <f t="shared" si="163"/>
        <v>0</v>
      </c>
      <c r="H767" s="285">
        <f t="shared" si="163"/>
        <v>0</v>
      </c>
      <c r="I767" s="285">
        <f t="shared" si="163"/>
        <v>0</v>
      </c>
      <c r="J767" s="324">
        <f t="shared" si="162"/>
        <v>0</v>
      </c>
      <c r="K767" s="294" t="s">
        <v>3555</v>
      </c>
      <c r="L767" s="44">
        <v>1</v>
      </c>
      <c r="M767" s="308" t="s">
        <v>2633</v>
      </c>
      <c r="N767" s="308"/>
      <c r="O767" s="308" t="s">
        <v>702</v>
      </c>
      <c r="P767" s="340" t="s">
        <v>4086</v>
      </c>
    </row>
    <row r="768" s="107" customFormat="1" ht="20.1" customHeight="1" spans="1:16">
      <c r="A768" s="279" t="s">
        <v>2636</v>
      </c>
      <c r="B768" s="41" t="s">
        <v>1458</v>
      </c>
      <c r="C768" s="287"/>
      <c r="D768" s="288">
        <f t="shared" si="161"/>
        <v>0</v>
      </c>
      <c r="E768" s="287"/>
      <c r="F768" s="287"/>
      <c r="G768" s="287"/>
      <c r="H768" s="287"/>
      <c r="I768" s="302"/>
      <c r="J768" s="303">
        <f t="shared" si="162"/>
        <v>0</v>
      </c>
      <c r="K768" s="300" t="s">
        <v>3551</v>
      </c>
      <c r="L768" s="301"/>
      <c r="M768" s="312" t="s">
        <v>704</v>
      </c>
      <c r="N768" s="312" t="s">
        <v>680</v>
      </c>
      <c r="O768" s="312" t="s">
        <v>704</v>
      </c>
      <c r="P768" s="341" t="s">
        <v>4087</v>
      </c>
    </row>
    <row r="769" s="106" customFormat="1" ht="20.1" customHeight="1" spans="1:16">
      <c r="A769" s="279" t="s">
        <v>2637</v>
      </c>
      <c r="B769" s="41" t="s">
        <v>1460</v>
      </c>
      <c r="C769" s="287"/>
      <c r="D769" s="288">
        <f t="shared" si="161"/>
        <v>0</v>
      </c>
      <c r="E769" s="287"/>
      <c r="F769" s="287"/>
      <c r="G769" s="287"/>
      <c r="H769" s="287"/>
      <c r="I769" s="302"/>
      <c r="J769" s="303"/>
      <c r="K769" s="294" t="s">
        <v>3555</v>
      </c>
      <c r="L769" s="44">
        <v>1</v>
      </c>
      <c r="M769" s="308" t="s">
        <v>2636</v>
      </c>
      <c r="N769" s="308"/>
      <c r="O769" s="308" t="s">
        <v>704</v>
      </c>
      <c r="P769" s="340" t="s">
        <v>3556</v>
      </c>
    </row>
    <row r="770" s="106" customFormat="1" ht="20.1" customHeight="1" spans="1:16">
      <c r="A770" s="279" t="s">
        <v>2638</v>
      </c>
      <c r="B770" s="41" t="s">
        <v>1462</v>
      </c>
      <c r="C770" s="287"/>
      <c r="D770" s="288">
        <f t="shared" si="161"/>
        <v>0</v>
      </c>
      <c r="E770" s="287"/>
      <c r="F770" s="287"/>
      <c r="G770" s="287"/>
      <c r="H770" s="287"/>
      <c r="I770" s="302"/>
      <c r="J770" s="303"/>
      <c r="K770" s="294" t="s">
        <v>3555</v>
      </c>
      <c r="L770" s="44">
        <v>1</v>
      </c>
      <c r="M770" s="308" t="s">
        <v>2637</v>
      </c>
      <c r="N770" s="308"/>
      <c r="O770" s="308" t="s">
        <v>704</v>
      </c>
      <c r="P770" s="340" t="s">
        <v>3557</v>
      </c>
    </row>
    <row r="771" s="106" customFormat="1" ht="20.1" customHeight="1" spans="1:16">
      <c r="A771" s="279" t="s">
        <v>2639</v>
      </c>
      <c r="B771" s="41" t="s">
        <v>2640</v>
      </c>
      <c r="C771" s="287">
        <v>0</v>
      </c>
      <c r="D771" s="288">
        <f t="shared" si="161"/>
        <v>0</v>
      </c>
      <c r="E771" s="287"/>
      <c r="F771" s="287"/>
      <c r="G771" s="287"/>
      <c r="H771" s="287"/>
      <c r="I771" s="302"/>
      <c r="J771" s="303">
        <f t="shared" ref="J771:J773" si="164">ROUND(IF(C771=0,IF(D771=0,0,1),IF(D771=0,-1,D771/C771)),4)*100</f>
        <v>0</v>
      </c>
      <c r="K771" s="294" t="s">
        <v>3555</v>
      </c>
      <c r="L771" s="44">
        <v>1</v>
      </c>
      <c r="M771" s="308" t="s">
        <v>2638</v>
      </c>
      <c r="N771" s="308"/>
      <c r="O771" s="308" t="s">
        <v>704</v>
      </c>
      <c r="P771" s="340" t="s">
        <v>3558</v>
      </c>
    </row>
    <row r="772" s="106" customFormat="1" ht="20.1" customHeight="1" spans="1:16">
      <c r="A772" s="283" t="s">
        <v>706</v>
      </c>
      <c r="B772" s="323" t="s">
        <v>2641</v>
      </c>
      <c r="C772" s="285">
        <f t="shared" ref="C772:I772" si="165">SUM(C773:C775)</f>
        <v>2244</v>
      </c>
      <c r="D772" s="285">
        <f t="shared" si="161"/>
        <v>3046</v>
      </c>
      <c r="E772" s="285">
        <f t="shared" si="165"/>
        <v>2373</v>
      </c>
      <c r="F772" s="285">
        <f t="shared" si="165"/>
        <v>0</v>
      </c>
      <c r="G772" s="285">
        <f t="shared" si="165"/>
        <v>673</v>
      </c>
      <c r="H772" s="285">
        <f t="shared" si="165"/>
        <v>0</v>
      </c>
      <c r="I772" s="285">
        <f t="shared" si="165"/>
        <v>0</v>
      </c>
      <c r="J772" s="324">
        <f t="shared" si="164"/>
        <v>135.74</v>
      </c>
      <c r="K772" s="294" t="s">
        <v>3555</v>
      </c>
      <c r="L772" s="44">
        <v>1</v>
      </c>
      <c r="M772" s="308" t="s">
        <v>2639</v>
      </c>
      <c r="N772" s="308"/>
      <c r="O772" s="308" t="s">
        <v>704</v>
      </c>
      <c r="P772" s="340" t="s">
        <v>4088</v>
      </c>
    </row>
    <row r="773" s="107" customFormat="1" ht="20.1" customHeight="1" spans="1:16">
      <c r="A773" s="279" t="s">
        <v>2642</v>
      </c>
      <c r="B773" s="41" t="s">
        <v>2643</v>
      </c>
      <c r="C773" s="287"/>
      <c r="D773" s="288">
        <f t="shared" si="161"/>
        <v>0</v>
      </c>
      <c r="E773" s="287"/>
      <c r="F773" s="287"/>
      <c r="G773" s="287"/>
      <c r="H773" s="287"/>
      <c r="I773" s="302"/>
      <c r="J773" s="303">
        <f t="shared" si="164"/>
        <v>0</v>
      </c>
      <c r="K773" s="300" t="s">
        <v>3551</v>
      </c>
      <c r="L773" s="301"/>
      <c r="M773" s="312" t="s">
        <v>706</v>
      </c>
      <c r="N773" s="312" t="s">
        <v>680</v>
      </c>
      <c r="O773" s="312" t="s">
        <v>706</v>
      </c>
      <c r="P773" s="341" t="s">
        <v>4087</v>
      </c>
    </row>
    <row r="774" s="106" customFormat="1" ht="20.1" customHeight="1" spans="1:16">
      <c r="A774" s="279" t="s">
        <v>2644</v>
      </c>
      <c r="B774" s="41" t="s">
        <v>2645</v>
      </c>
      <c r="C774" s="287"/>
      <c r="D774" s="288">
        <f t="shared" si="161"/>
        <v>2373</v>
      </c>
      <c r="E774" s="287">
        <v>2373</v>
      </c>
      <c r="F774" s="287"/>
      <c r="G774" s="287"/>
      <c r="H774" s="287"/>
      <c r="I774" s="302"/>
      <c r="J774" s="303"/>
      <c r="K774" s="294" t="s">
        <v>3555</v>
      </c>
      <c r="L774" s="44">
        <v>1</v>
      </c>
      <c r="M774" s="308" t="s">
        <v>2642</v>
      </c>
      <c r="N774" s="308"/>
      <c r="O774" s="308" t="s">
        <v>706</v>
      </c>
      <c r="P774" s="340" t="s">
        <v>4089</v>
      </c>
    </row>
    <row r="775" s="106" customFormat="1" ht="20.1" customHeight="1" spans="1:16">
      <c r="A775" s="279" t="s">
        <v>2646</v>
      </c>
      <c r="B775" s="41" t="s">
        <v>2647</v>
      </c>
      <c r="C775" s="287">
        <v>2244</v>
      </c>
      <c r="D775" s="288">
        <f t="shared" si="161"/>
        <v>673</v>
      </c>
      <c r="E775" s="287"/>
      <c r="F775" s="287"/>
      <c r="G775" s="287">
        <v>673</v>
      </c>
      <c r="H775" s="287"/>
      <c r="I775" s="302"/>
      <c r="J775" s="303"/>
      <c r="K775" s="294" t="s">
        <v>3555</v>
      </c>
      <c r="L775" s="44">
        <v>1</v>
      </c>
      <c r="M775" s="308" t="s">
        <v>2646</v>
      </c>
      <c r="N775" s="308"/>
      <c r="O775" s="308" t="s">
        <v>706</v>
      </c>
      <c r="P775" s="340" t="s">
        <v>4090</v>
      </c>
    </row>
    <row r="776" s="107" customFormat="1" ht="20.1" customHeight="1" spans="1:16">
      <c r="A776" s="283" t="s">
        <v>708</v>
      </c>
      <c r="B776" s="323" t="s">
        <v>2648</v>
      </c>
      <c r="C776" s="285">
        <f t="shared" ref="C776:I776" si="166">SUM(C777:C777)</f>
        <v>461</v>
      </c>
      <c r="D776" s="285">
        <f t="shared" si="161"/>
        <v>1088</v>
      </c>
      <c r="E776" s="285">
        <f t="shared" si="166"/>
        <v>155</v>
      </c>
      <c r="F776" s="285">
        <f t="shared" si="166"/>
        <v>0</v>
      </c>
      <c r="G776" s="285">
        <f t="shared" si="166"/>
        <v>808</v>
      </c>
      <c r="H776" s="285">
        <f t="shared" si="166"/>
        <v>0</v>
      </c>
      <c r="I776" s="285">
        <f t="shared" si="166"/>
        <v>125</v>
      </c>
      <c r="J776" s="324">
        <f t="shared" ref="J776:J786" si="167">ROUND(IF(C776=0,IF(D776=0,0,1),IF(D776=0,-1,D776/C776)),4)*100</f>
        <v>236.01</v>
      </c>
      <c r="K776" s="300" t="s">
        <v>3551</v>
      </c>
      <c r="L776" s="301"/>
      <c r="M776" s="312" t="s">
        <v>708</v>
      </c>
      <c r="N776" s="312" t="s">
        <v>680</v>
      </c>
      <c r="O776" s="312" t="s">
        <v>708</v>
      </c>
      <c r="P776" s="313" t="s">
        <v>4091</v>
      </c>
    </row>
    <row r="777" s="106" customFormat="1" ht="20.1" customHeight="1" spans="1:16">
      <c r="A777" s="337" t="s">
        <v>2649</v>
      </c>
      <c r="B777" s="41" t="s">
        <v>709</v>
      </c>
      <c r="C777" s="287">
        <v>461</v>
      </c>
      <c r="D777" s="288">
        <f t="shared" si="161"/>
        <v>1088</v>
      </c>
      <c r="E777" s="287">
        <v>155</v>
      </c>
      <c r="F777" s="287"/>
      <c r="G777" s="287">
        <v>808</v>
      </c>
      <c r="H777" s="287"/>
      <c r="I777" s="302">
        <v>125</v>
      </c>
      <c r="J777" s="303"/>
      <c r="K777" s="294" t="s">
        <v>3555</v>
      </c>
      <c r="L777" s="44">
        <v>1</v>
      </c>
      <c r="M777" s="308" t="s">
        <v>2649</v>
      </c>
      <c r="N777" s="308"/>
      <c r="O777" s="308" t="s">
        <v>708</v>
      </c>
      <c r="P777" s="309" t="s">
        <v>4091</v>
      </c>
    </row>
    <row r="778" s="107" customFormat="1" ht="20.1" customHeight="1" spans="1:16">
      <c r="A778" s="280" t="s">
        <v>710</v>
      </c>
      <c r="B778" s="281" t="s">
        <v>711</v>
      </c>
      <c r="C778" s="282">
        <f t="shared" ref="C778:I778" si="168">C779+C789+C793+C802+C809+C816+C819+C822+C824+C826+C832+C835+C837+C848</f>
        <v>2116</v>
      </c>
      <c r="D778" s="282">
        <f t="shared" si="168"/>
        <v>2612</v>
      </c>
      <c r="E778" s="282">
        <f t="shared" si="168"/>
        <v>1931</v>
      </c>
      <c r="F778" s="282">
        <f t="shared" si="168"/>
        <v>0</v>
      </c>
      <c r="G778" s="282">
        <f t="shared" si="168"/>
        <v>574</v>
      </c>
      <c r="H778" s="282">
        <f t="shared" si="168"/>
        <v>0</v>
      </c>
      <c r="I778" s="282">
        <f t="shared" si="168"/>
        <v>107</v>
      </c>
      <c r="J778" s="296">
        <f t="shared" si="167"/>
        <v>123.44</v>
      </c>
      <c r="K778" s="297" t="s">
        <v>3550</v>
      </c>
      <c r="L778" s="298"/>
      <c r="M778" s="310" t="s">
        <v>710</v>
      </c>
      <c r="N778" s="310" t="s">
        <v>710</v>
      </c>
      <c r="O778" s="310" t="s">
        <v>710</v>
      </c>
      <c r="P778" s="311" t="s">
        <v>4092</v>
      </c>
    </row>
    <row r="779" s="107" customFormat="1" ht="20.1" customHeight="1" spans="1:16">
      <c r="A779" s="283" t="s">
        <v>712</v>
      </c>
      <c r="B779" s="323" t="s">
        <v>2650</v>
      </c>
      <c r="C779" s="285">
        <f t="shared" ref="C779:I779" si="169">SUM(C780:C788)</f>
        <v>0</v>
      </c>
      <c r="D779" s="285">
        <f t="shared" ref="D779:D836" si="170">SUM(E779:I779)</f>
        <v>0</v>
      </c>
      <c r="E779" s="285">
        <f t="shared" si="169"/>
        <v>0</v>
      </c>
      <c r="F779" s="285">
        <f t="shared" si="169"/>
        <v>0</v>
      </c>
      <c r="G779" s="285">
        <f t="shared" si="169"/>
        <v>0</v>
      </c>
      <c r="H779" s="285">
        <f t="shared" si="169"/>
        <v>0</v>
      </c>
      <c r="I779" s="285">
        <f t="shared" si="169"/>
        <v>0</v>
      </c>
      <c r="J779" s="324">
        <f t="shared" si="167"/>
        <v>0</v>
      </c>
      <c r="K779" s="300" t="s">
        <v>3551</v>
      </c>
      <c r="L779" s="301"/>
      <c r="M779" s="312" t="s">
        <v>712</v>
      </c>
      <c r="N779" s="312" t="s">
        <v>710</v>
      </c>
      <c r="O779" s="312" t="s">
        <v>712</v>
      </c>
      <c r="P779" s="313" t="s">
        <v>4093</v>
      </c>
    </row>
    <row r="780" s="106" customFormat="1" ht="20.1" customHeight="1" spans="1:16">
      <c r="A780" s="279" t="s">
        <v>2651</v>
      </c>
      <c r="B780" s="41" t="s">
        <v>1458</v>
      </c>
      <c r="C780" s="287"/>
      <c r="D780" s="288">
        <f t="shared" si="170"/>
        <v>0</v>
      </c>
      <c r="E780" s="287"/>
      <c r="F780" s="287"/>
      <c r="G780" s="287"/>
      <c r="H780" s="287"/>
      <c r="I780" s="302"/>
      <c r="J780" s="303">
        <f t="shared" si="167"/>
        <v>0</v>
      </c>
      <c r="K780" s="294" t="s">
        <v>3555</v>
      </c>
      <c r="L780" s="44">
        <v>1</v>
      </c>
      <c r="M780" s="308" t="s">
        <v>2651</v>
      </c>
      <c r="N780" s="308"/>
      <c r="O780" s="308" t="s">
        <v>712</v>
      </c>
      <c r="P780" s="314" t="s">
        <v>3556</v>
      </c>
    </row>
    <row r="781" s="106" customFormat="1" ht="20.1" customHeight="1" spans="1:16">
      <c r="A781" s="279" t="s">
        <v>2652</v>
      </c>
      <c r="B781" s="41" t="s">
        <v>1460</v>
      </c>
      <c r="C781" s="287">
        <v>0</v>
      </c>
      <c r="D781" s="288">
        <f t="shared" si="170"/>
        <v>0</v>
      </c>
      <c r="E781" s="287"/>
      <c r="F781" s="287"/>
      <c r="G781" s="287"/>
      <c r="H781" s="287"/>
      <c r="I781" s="302"/>
      <c r="J781" s="303">
        <f t="shared" si="167"/>
        <v>0</v>
      </c>
      <c r="K781" s="294" t="s">
        <v>3555</v>
      </c>
      <c r="L781" s="44">
        <v>1</v>
      </c>
      <c r="M781" s="308" t="s">
        <v>2652</v>
      </c>
      <c r="N781" s="308"/>
      <c r="O781" s="308" t="s">
        <v>712</v>
      </c>
      <c r="P781" s="314" t="s">
        <v>3557</v>
      </c>
    </row>
    <row r="782" s="106" customFormat="1" ht="20.1" customHeight="1" spans="1:16">
      <c r="A782" s="279" t="s">
        <v>2653</v>
      </c>
      <c r="B782" s="41" t="s">
        <v>1462</v>
      </c>
      <c r="C782" s="287">
        <v>0</v>
      </c>
      <c r="D782" s="288">
        <f t="shared" si="170"/>
        <v>0</v>
      </c>
      <c r="E782" s="287"/>
      <c r="F782" s="287"/>
      <c r="G782" s="287"/>
      <c r="H782" s="287"/>
      <c r="I782" s="302"/>
      <c r="J782" s="303">
        <f t="shared" si="167"/>
        <v>0</v>
      </c>
      <c r="K782" s="294" t="s">
        <v>3555</v>
      </c>
      <c r="L782" s="44">
        <v>1</v>
      </c>
      <c r="M782" s="308" t="s">
        <v>2653</v>
      </c>
      <c r="N782" s="308"/>
      <c r="O782" s="308" t="s">
        <v>712</v>
      </c>
      <c r="P782" s="314" t="s">
        <v>3558</v>
      </c>
    </row>
    <row r="783" s="106" customFormat="1" ht="20.1" customHeight="1" spans="1:16">
      <c r="A783" s="279" t="s">
        <v>2654</v>
      </c>
      <c r="B783" s="41" t="s">
        <v>2655</v>
      </c>
      <c r="C783" s="287">
        <v>0</v>
      </c>
      <c r="D783" s="288">
        <f t="shared" si="170"/>
        <v>0</v>
      </c>
      <c r="E783" s="287"/>
      <c r="F783" s="287"/>
      <c r="G783" s="287"/>
      <c r="H783" s="287"/>
      <c r="I783" s="302"/>
      <c r="J783" s="303">
        <f t="shared" si="167"/>
        <v>0</v>
      </c>
      <c r="K783" s="294" t="s">
        <v>3555</v>
      </c>
      <c r="L783" s="44">
        <v>1</v>
      </c>
      <c r="M783" s="308" t="s">
        <v>2654</v>
      </c>
      <c r="N783" s="308"/>
      <c r="O783" s="308" t="s">
        <v>712</v>
      </c>
      <c r="P783" s="314" t="s">
        <v>4094</v>
      </c>
    </row>
    <row r="784" s="106" customFormat="1" ht="20.1" customHeight="1" spans="1:16">
      <c r="A784" s="279" t="s">
        <v>2656</v>
      </c>
      <c r="B784" s="41" t="s">
        <v>2657</v>
      </c>
      <c r="C784" s="287">
        <v>0</v>
      </c>
      <c r="D784" s="288">
        <f t="shared" si="170"/>
        <v>0</v>
      </c>
      <c r="E784" s="287"/>
      <c r="F784" s="287"/>
      <c r="G784" s="287"/>
      <c r="H784" s="287"/>
      <c r="I784" s="302"/>
      <c r="J784" s="303">
        <f t="shared" si="167"/>
        <v>0</v>
      </c>
      <c r="K784" s="294" t="s">
        <v>3555</v>
      </c>
      <c r="L784" s="44">
        <v>1</v>
      </c>
      <c r="M784" s="308" t="s">
        <v>2656</v>
      </c>
      <c r="N784" s="308"/>
      <c r="O784" s="308" t="s">
        <v>712</v>
      </c>
      <c r="P784" s="309" t="s">
        <v>4095</v>
      </c>
    </row>
    <row r="785" s="106" customFormat="1" ht="20.1" customHeight="1" spans="1:16">
      <c r="A785" s="279" t="s">
        <v>2658</v>
      </c>
      <c r="B785" s="41" t="s">
        <v>2659</v>
      </c>
      <c r="C785" s="287">
        <v>0</v>
      </c>
      <c r="D785" s="288">
        <f t="shared" si="170"/>
        <v>0</v>
      </c>
      <c r="E785" s="287"/>
      <c r="F785" s="287"/>
      <c r="G785" s="287"/>
      <c r="H785" s="287"/>
      <c r="I785" s="302"/>
      <c r="J785" s="303">
        <f t="shared" si="167"/>
        <v>0</v>
      </c>
      <c r="K785" s="294" t="s">
        <v>3555</v>
      </c>
      <c r="L785" s="44">
        <v>1</v>
      </c>
      <c r="M785" s="308" t="s">
        <v>2658</v>
      </c>
      <c r="N785" s="308"/>
      <c r="O785" s="308" t="s">
        <v>712</v>
      </c>
      <c r="P785" s="314" t="s">
        <v>4096</v>
      </c>
    </row>
    <row r="786" s="106" customFormat="1" ht="20.1" customHeight="1" spans="1:16">
      <c r="A786" s="279" t="s">
        <v>2660</v>
      </c>
      <c r="B786" s="41" t="s">
        <v>2661</v>
      </c>
      <c r="C786" s="287">
        <v>0</v>
      </c>
      <c r="D786" s="288">
        <f t="shared" si="170"/>
        <v>0</v>
      </c>
      <c r="E786" s="287"/>
      <c r="F786" s="287"/>
      <c r="G786" s="287"/>
      <c r="H786" s="287"/>
      <c r="I786" s="302"/>
      <c r="J786" s="303">
        <f t="shared" si="167"/>
        <v>0</v>
      </c>
      <c r="K786" s="294" t="s">
        <v>3555</v>
      </c>
      <c r="L786" s="44">
        <v>1</v>
      </c>
      <c r="M786" s="308" t="s">
        <v>2660</v>
      </c>
      <c r="N786" s="308"/>
      <c r="O786" s="308" t="s">
        <v>712</v>
      </c>
      <c r="P786" s="314" t="s">
        <v>4097</v>
      </c>
    </row>
    <row r="787" s="106" customFormat="1" ht="20.1" customHeight="1" spans="1:16">
      <c r="A787" s="279" t="s">
        <v>2662</v>
      </c>
      <c r="B787" s="41" t="s">
        <v>2663</v>
      </c>
      <c r="C787" s="287"/>
      <c r="D787" s="288">
        <f t="shared" si="170"/>
        <v>0</v>
      </c>
      <c r="E787" s="287"/>
      <c r="F787" s="287"/>
      <c r="G787" s="287"/>
      <c r="H787" s="287"/>
      <c r="I787" s="302"/>
      <c r="J787" s="303"/>
      <c r="K787" s="294" t="s">
        <v>3555</v>
      </c>
      <c r="L787" s="44">
        <v>1</v>
      </c>
      <c r="M787" s="308" t="s">
        <v>2662</v>
      </c>
      <c r="N787" s="308"/>
      <c r="O787" s="308" t="s">
        <v>712</v>
      </c>
      <c r="P787" s="314" t="s">
        <v>4098</v>
      </c>
    </row>
    <row r="788" s="106" customFormat="1" ht="20.1" customHeight="1" spans="1:16">
      <c r="A788" s="279" t="s">
        <v>2664</v>
      </c>
      <c r="B788" s="41" t="s">
        <v>2665</v>
      </c>
      <c r="C788" s="287">
        <v>0</v>
      </c>
      <c r="D788" s="288">
        <f t="shared" si="170"/>
        <v>0</v>
      </c>
      <c r="E788" s="287"/>
      <c r="F788" s="287"/>
      <c r="G788" s="287"/>
      <c r="H788" s="287"/>
      <c r="I788" s="302"/>
      <c r="J788" s="303">
        <f t="shared" ref="J788:J799" si="171">ROUND(IF(C788=0,IF(D788=0,0,1),IF(D788=0,-1,D788/C788)),4)*100</f>
        <v>0</v>
      </c>
      <c r="K788" s="294" t="s">
        <v>3555</v>
      </c>
      <c r="L788" s="44">
        <v>1</v>
      </c>
      <c r="M788" s="308" t="s">
        <v>2664</v>
      </c>
      <c r="N788" s="308"/>
      <c r="O788" s="308" t="s">
        <v>712</v>
      </c>
      <c r="P788" s="309" t="s">
        <v>4099</v>
      </c>
    </row>
    <row r="789" s="107" customFormat="1" ht="20.1" customHeight="1" spans="1:16">
      <c r="A789" s="283" t="s">
        <v>713</v>
      </c>
      <c r="B789" s="323" t="s">
        <v>2666</v>
      </c>
      <c r="C789" s="285">
        <v>0</v>
      </c>
      <c r="D789" s="285">
        <f t="shared" si="170"/>
        <v>0</v>
      </c>
      <c r="E789" s="285">
        <f t="shared" ref="E789:H789" si="172">SUM(E790:E792)</f>
        <v>0</v>
      </c>
      <c r="F789" s="285">
        <f t="shared" si="172"/>
        <v>0</v>
      </c>
      <c r="G789" s="285">
        <f>VLOOKUP(A789,[1]√表四、2025年公共财政支出变动表!$A$8:$S$221,18,FALSE)</f>
        <v>0</v>
      </c>
      <c r="H789" s="285">
        <f t="shared" si="172"/>
        <v>0</v>
      </c>
      <c r="I789" s="285"/>
      <c r="J789" s="324">
        <f t="shared" si="171"/>
        <v>0</v>
      </c>
      <c r="K789" s="300" t="s">
        <v>3551</v>
      </c>
      <c r="L789" s="301"/>
      <c r="M789" s="312" t="s">
        <v>713</v>
      </c>
      <c r="N789" s="312" t="s">
        <v>710</v>
      </c>
      <c r="O789" s="312" t="s">
        <v>713</v>
      </c>
      <c r="P789" s="313" t="s">
        <v>4100</v>
      </c>
    </row>
    <row r="790" s="106" customFormat="1" ht="20.1" customHeight="1" spans="1:16">
      <c r="A790" s="279" t="s">
        <v>2667</v>
      </c>
      <c r="B790" s="41" t="s">
        <v>2668</v>
      </c>
      <c r="C790" s="287">
        <v>0</v>
      </c>
      <c r="D790" s="288">
        <f t="shared" si="170"/>
        <v>0</v>
      </c>
      <c r="E790" s="287"/>
      <c r="F790" s="287"/>
      <c r="G790" s="287"/>
      <c r="H790" s="287"/>
      <c r="I790" s="302"/>
      <c r="J790" s="303">
        <f t="shared" si="171"/>
        <v>0</v>
      </c>
      <c r="K790" s="294" t="s">
        <v>3555</v>
      </c>
      <c r="L790" s="44">
        <v>1</v>
      </c>
      <c r="M790" s="308" t="s">
        <v>2667</v>
      </c>
      <c r="N790" s="308"/>
      <c r="O790" s="308" t="s">
        <v>713</v>
      </c>
      <c r="P790" s="309" t="s">
        <v>4101</v>
      </c>
    </row>
    <row r="791" s="266" customFormat="1" ht="20.1" customHeight="1" spans="1:16">
      <c r="A791" s="279" t="s">
        <v>2669</v>
      </c>
      <c r="B791" s="41" t="s">
        <v>2670</v>
      </c>
      <c r="C791" s="287">
        <v>0</v>
      </c>
      <c r="D791" s="288">
        <f t="shared" si="170"/>
        <v>0</v>
      </c>
      <c r="E791" s="287"/>
      <c r="F791" s="287"/>
      <c r="G791" s="287"/>
      <c r="H791" s="287"/>
      <c r="I791" s="302"/>
      <c r="J791" s="303">
        <f t="shared" si="171"/>
        <v>0</v>
      </c>
      <c r="K791" s="294" t="s">
        <v>3555</v>
      </c>
      <c r="L791" s="44">
        <v>1</v>
      </c>
      <c r="M791" s="308" t="s">
        <v>2669</v>
      </c>
      <c r="N791" s="308"/>
      <c r="O791" s="308" t="s">
        <v>713</v>
      </c>
      <c r="P791" s="309" t="s">
        <v>4102</v>
      </c>
    </row>
    <row r="792" s="266" customFormat="1" ht="20.1" customHeight="1" spans="1:16">
      <c r="A792" s="279" t="s">
        <v>2671</v>
      </c>
      <c r="B792" s="41" t="s">
        <v>2672</v>
      </c>
      <c r="C792" s="287">
        <v>0</v>
      </c>
      <c r="D792" s="288">
        <f t="shared" si="170"/>
        <v>0</v>
      </c>
      <c r="E792" s="287"/>
      <c r="F792" s="287"/>
      <c r="G792" s="287"/>
      <c r="H792" s="287"/>
      <c r="I792" s="302"/>
      <c r="J792" s="303">
        <f t="shared" si="171"/>
        <v>0</v>
      </c>
      <c r="K792" s="294" t="s">
        <v>3555</v>
      </c>
      <c r="L792" s="44">
        <v>1</v>
      </c>
      <c r="M792" s="308" t="s">
        <v>2671</v>
      </c>
      <c r="N792" s="308"/>
      <c r="O792" s="308" t="s">
        <v>713</v>
      </c>
      <c r="P792" s="309" t="s">
        <v>4103</v>
      </c>
    </row>
    <row r="793" s="107" customFormat="1" ht="20.1" customHeight="1" spans="1:16">
      <c r="A793" s="283" t="s">
        <v>714</v>
      </c>
      <c r="B793" s="323" t="s">
        <v>2673</v>
      </c>
      <c r="C793" s="285">
        <f t="shared" ref="C793:I793" si="173">SUM(C794:C801)</f>
        <v>7</v>
      </c>
      <c r="D793" s="285">
        <f t="shared" si="170"/>
        <v>112</v>
      </c>
      <c r="E793" s="285">
        <f t="shared" si="173"/>
        <v>0</v>
      </c>
      <c r="F793" s="285">
        <f t="shared" si="173"/>
        <v>0</v>
      </c>
      <c r="G793" s="285">
        <f t="shared" si="173"/>
        <v>112</v>
      </c>
      <c r="H793" s="285">
        <f t="shared" si="173"/>
        <v>0</v>
      </c>
      <c r="I793" s="285">
        <f t="shared" si="173"/>
        <v>0</v>
      </c>
      <c r="J793" s="324">
        <f t="shared" si="171"/>
        <v>1600</v>
      </c>
      <c r="K793" s="300" t="s">
        <v>3551</v>
      </c>
      <c r="L793" s="301"/>
      <c r="M793" s="312" t="s">
        <v>714</v>
      </c>
      <c r="N793" s="312" t="s">
        <v>710</v>
      </c>
      <c r="O793" s="312" t="s">
        <v>714</v>
      </c>
      <c r="P793" s="313" t="s">
        <v>4104</v>
      </c>
    </row>
    <row r="794" s="266" customFormat="1" ht="20.1" customHeight="1" spans="1:16">
      <c r="A794" s="279" t="s">
        <v>2674</v>
      </c>
      <c r="B794" s="41" t="s">
        <v>2675</v>
      </c>
      <c r="C794" s="287">
        <v>6</v>
      </c>
      <c r="D794" s="288">
        <f t="shared" si="170"/>
        <v>4</v>
      </c>
      <c r="E794" s="287"/>
      <c r="F794" s="287"/>
      <c r="G794" s="287">
        <v>4</v>
      </c>
      <c r="H794" s="287"/>
      <c r="I794" s="302"/>
      <c r="J794" s="303">
        <f t="shared" si="171"/>
        <v>66.67</v>
      </c>
      <c r="K794" s="294" t="s">
        <v>3555</v>
      </c>
      <c r="L794" s="44">
        <v>1</v>
      </c>
      <c r="M794" s="308" t="s">
        <v>2674</v>
      </c>
      <c r="N794" s="308"/>
      <c r="O794" s="308" t="s">
        <v>714</v>
      </c>
      <c r="P794" s="309" t="s">
        <v>4105</v>
      </c>
    </row>
    <row r="795" s="266" customFormat="1" ht="20.1" customHeight="1" spans="1:16">
      <c r="A795" s="279" t="s">
        <v>2676</v>
      </c>
      <c r="B795" s="41" t="s">
        <v>2677</v>
      </c>
      <c r="C795" s="287"/>
      <c r="D795" s="288">
        <f t="shared" si="170"/>
        <v>108</v>
      </c>
      <c r="E795" s="287"/>
      <c r="F795" s="287"/>
      <c r="G795" s="287">
        <v>108</v>
      </c>
      <c r="H795" s="287"/>
      <c r="I795" s="302"/>
      <c r="J795" s="303">
        <f t="shared" si="171"/>
        <v>100</v>
      </c>
      <c r="K795" s="294" t="s">
        <v>3555</v>
      </c>
      <c r="L795" s="44">
        <v>1</v>
      </c>
      <c r="M795" s="308" t="s">
        <v>2676</v>
      </c>
      <c r="N795" s="308"/>
      <c r="O795" s="308" t="s">
        <v>714</v>
      </c>
      <c r="P795" s="309" t="s">
        <v>4106</v>
      </c>
    </row>
    <row r="796" s="266" customFormat="1" ht="20.1" customHeight="1" spans="1:16">
      <c r="A796" s="279" t="s">
        <v>2678</v>
      </c>
      <c r="B796" s="41" t="s">
        <v>2679</v>
      </c>
      <c r="C796" s="287"/>
      <c r="D796" s="288">
        <f t="shared" si="170"/>
        <v>0</v>
      </c>
      <c r="E796" s="287"/>
      <c r="F796" s="287"/>
      <c r="G796" s="287"/>
      <c r="H796" s="287"/>
      <c r="I796" s="302"/>
      <c r="J796" s="303">
        <f t="shared" si="171"/>
        <v>0</v>
      </c>
      <c r="K796" s="294" t="s">
        <v>3555</v>
      </c>
      <c r="L796" s="44">
        <v>1</v>
      </c>
      <c r="M796" s="308" t="s">
        <v>2678</v>
      </c>
      <c r="N796" s="308"/>
      <c r="O796" s="308" t="s">
        <v>714</v>
      </c>
      <c r="P796" s="309" t="s">
        <v>4107</v>
      </c>
    </row>
    <row r="797" s="266" customFormat="1" ht="20.1" customHeight="1" spans="1:16">
      <c r="A797" s="279" t="s">
        <v>2680</v>
      </c>
      <c r="B797" s="41" t="s">
        <v>2681</v>
      </c>
      <c r="C797" s="287">
        <v>1</v>
      </c>
      <c r="D797" s="288">
        <f t="shared" si="170"/>
        <v>0</v>
      </c>
      <c r="E797" s="287"/>
      <c r="F797" s="287"/>
      <c r="G797" s="287"/>
      <c r="H797" s="287"/>
      <c r="I797" s="302"/>
      <c r="J797" s="303">
        <f t="shared" si="171"/>
        <v>-100</v>
      </c>
      <c r="K797" s="294" t="s">
        <v>3555</v>
      </c>
      <c r="L797" s="44">
        <v>1</v>
      </c>
      <c r="M797" s="308" t="s">
        <v>2680</v>
      </c>
      <c r="N797" s="308"/>
      <c r="O797" s="308" t="s">
        <v>714</v>
      </c>
      <c r="P797" s="309" t="s">
        <v>4108</v>
      </c>
    </row>
    <row r="798" s="266" customFormat="1" ht="20.1" customHeight="1" spans="1:16">
      <c r="A798" s="279" t="s">
        <v>2682</v>
      </c>
      <c r="B798" s="41" t="s">
        <v>2683</v>
      </c>
      <c r="C798" s="287"/>
      <c r="D798" s="288">
        <f t="shared" si="170"/>
        <v>0</v>
      </c>
      <c r="E798" s="287"/>
      <c r="F798" s="287"/>
      <c r="G798" s="287"/>
      <c r="H798" s="287"/>
      <c r="I798" s="302"/>
      <c r="J798" s="303">
        <f t="shared" si="171"/>
        <v>0</v>
      </c>
      <c r="K798" s="294" t="s">
        <v>3555</v>
      </c>
      <c r="L798" s="44">
        <v>1</v>
      </c>
      <c r="M798" s="308" t="s">
        <v>2682</v>
      </c>
      <c r="N798" s="308"/>
      <c r="O798" s="308" t="s">
        <v>714</v>
      </c>
      <c r="P798" s="309" t="s">
        <v>4109</v>
      </c>
    </row>
    <row r="799" s="266" customFormat="1" ht="20.1" customHeight="1" spans="1:16">
      <c r="A799" s="279" t="s">
        <v>2684</v>
      </c>
      <c r="B799" s="41" t="s">
        <v>2685</v>
      </c>
      <c r="C799" s="287"/>
      <c r="D799" s="288">
        <f t="shared" si="170"/>
        <v>0</v>
      </c>
      <c r="E799" s="287"/>
      <c r="F799" s="287"/>
      <c r="G799" s="287"/>
      <c r="H799" s="287"/>
      <c r="I799" s="302"/>
      <c r="J799" s="303">
        <f t="shared" si="171"/>
        <v>0</v>
      </c>
      <c r="K799" s="294" t="s">
        <v>3555</v>
      </c>
      <c r="L799" s="44">
        <v>1</v>
      </c>
      <c r="M799" s="308" t="s">
        <v>2684</v>
      </c>
      <c r="N799" s="308"/>
      <c r="O799" s="308" t="s">
        <v>714</v>
      </c>
      <c r="P799" s="309" t="s">
        <v>4110</v>
      </c>
    </row>
    <row r="800" s="266" customFormat="1" ht="20.1" customHeight="1" spans="1:16">
      <c r="A800" s="279" t="s">
        <v>2686</v>
      </c>
      <c r="B800" s="41" t="s">
        <v>2687</v>
      </c>
      <c r="C800" s="287"/>
      <c r="D800" s="288">
        <f t="shared" si="170"/>
        <v>0</v>
      </c>
      <c r="E800" s="287"/>
      <c r="F800" s="287"/>
      <c r="G800" s="287"/>
      <c r="H800" s="287"/>
      <c r="I800" s="302"/>
      <c r="J800" s="303"/>
      <c r="K800" s="294" t="s">
        <v>3555</v>
      </c>
      <c r="L800" s="44">
        <v>1</v>
      </c>
      <c r="M800" s="308" t="s">
        <v>2686</v>
      </c>
      <c r="N800" s="308"/>
      <c r="O800" s="308" t="s">
        <v>714</v>
      </c>
      <c r="P800" s="309" t="s">
        <v>4111</v>
      </c>
    </row>
    <row r="801" s="266" customFormat="1" ht="20.1" customHeight="1" spans="1:16">
      <c r="A801" s="279" t="s">
        <v>2688</v>
      </c>
      <c r="B801" s="41" t="s">
        <v>2689</v>
      </c>
      <c r="C801" s="287"/>
      <c r="D801" s="288">
        <f t="shared" si="170"/>
        <v>0</v>
      </c>
      <c r="E801" s="287"/>
      <c r="F801" s="287"/>
      <c r="G801" s="287"/>
      <c r="H801" s="287"/>
      <c r="I801" s="302"/>
      <c r="J801" s="303">
        <f t="shared" ref="J801:J805" si="174">ROUND(IF(C801=0,IF(D801=0,0,1),IF(D801=0,-1,D801/C801)),4)*100</f>
        <v>0</v>
      </c>
      <c r="K801" s="294" t="s">
        <v>3555</v>
      </c>
      <c r="L801" s="44">
        <v>1</v>
      </c>
      <c r="M801" s="308" t="s">
        <v>2688</v>
      </c>
      <c r="N801" s="308"/>
      <c r="O801" s="308" t="s">
        <v>714</v>
      </c>
      <c r="P801" s="309" t="s">
        <v>4112</v>
      </c>
    </row>
    <row r="802" s="107" customFormat="1" ht="20.1" customHeight="1" spans="1:16">
      <c r="A802" s="283" t="s">
        <v>715</v>
      </c>
      <c r="B802" s="323" t="s">
        <v>2690</v>
      </c>
      <c r="C802" s="285">
        <f t="shared" ref="C802:I802" si="175">SUM(C803:C808)</f>
        <v>1904</v>
      </c>
      <c r="D802" s="285">
        <f t="shared" si="170"/>
        <v>61</v>
      </c>
      <c r="E802" s="285">
        <f t="shared" si="175"/>
        <v>0</v>
      </c>
      <c r="F802" s="285">
        <f t="shared" si="175"/>
        <v>0</v>
      </c>
      <c r="G802" s="285">
        <f t="shared" si="175"/>
        <v>61</v>
      </c>
      <c r="H802" s="285">
        <f t="shared" si="175"/>
        <v>0</v>
      </c>
      <c r="I802" s="285">
        <f t="shared" si="175"/>
        <v>0</v>
      </c>
      <c r="J802" s="324">
        <f t="shared" si="174"/>
        <v>3.2</v>
      </c>
      <c r="K802" s="300" t="s">
        <v>3551</v>
      </c>
      <c r="L802" s="301"/>
      <c r="M802" s="312" t="s">
        <v>715</v>
      </c>
      <c r="N802" s="312" t="s">
        <v>710</v>
      </c>
      <c r="O802" s="312" t="s">
        <v>715</v>
      </c>
      <c r="P802" s="313" t="s">
        <v>4113</v>
      </c>
    </row>
    <row r="803" s="266" customFormat="1" ht="20.1" customHeight="1" spans="1:16">
      <c r="A803" s="279" t="s">
        <v>2691</v>
      </c>
      <c r="B803" s="41" t="s">
        <v>2692</v>
      </c>
      <c r="C803" s="287">
        <v>1893</v>
      </c>
      <c r="D803" s="288">
        <f t="shared" si="170"/>
        <v>61</v>
      </c>
      <c r="E803" s="287"/>
      <c r="F803" s="287"/>
      <c r="G803" s="287">
        <v>61</v>
      </c>
      <c r="H803" s="287"/>
      <c r="I803" s="302"/>
      <c r="J803" s="303">
        <f t="shared" si="174"/>
        <v>3.22</v>
      </c>
      <c r="K803" s="294" t="s">
        <v>3555</v>
      </c>
      <c r="L803" s="44">
        <v>1</v>
      </c>
      <c r="M803" s="308" t="s">
        <v>2691</v>
      </c>
      <c r="N803" s="308"/>
      <c r="O803" s="308" t="s">
        <v>715</v>
      </c>
      <c r="P803" s="309" t="s">
        <v>4114</v>
      </c>
    </row>
    <row r="804" s="266" customFormat="1" ht="20.1" customHeight="1" spans="1:16">
      <c r="A804" s="279" t="s">
        <v>2693</v>
      </c>
      <c r="B804" s="41" t="s">
        <v>2694</v>
      </c>
      <c r="C804" s="287">
        <v>6</v>
      </c>
      <c r="D804" s="288">
        <f t="shared" si="170"/>
        <v>0</v>
      </c>
      <c r="E804" s="287"/>
      <c r="F804" s="287"/>
      <c r="G804" s="287"/>
      <c r="H804" s="287"/>
      <c r="I804" s="302"/>
      <c r="J804" s="303">
        <f t="shared" si="174"/>
        <v>-100</v>
      </c>
      <c r="K804" s="294" t="s">
        <v>3555</v>
      </c>
      <c r="L804" s="44">
        <v>1</v>
      </c>
      <c r="M804" s="308" t="s">
        <v>2693</v>
      </c>
      <c r="N804" s="308"/>
      <c r="O804" s="308" t="s">
        <v>715</v>
      </c>
      <c r="P804" s="309" t="s">
        <v>4115</v>
      </c>
    </row>
    <row r="805" s="266" customFormat="1" ht="20.1" customHeight="1" spans="1:16">
      <c r="A805" s="279" t="s">
        <v>2695</v>
      </c>
      <c r="B805" s="41" t="s">
        <v>2696</v>
      </c>
      <c r="C805" s="287"/>
      <c r="D805" s="288">
        <f t="shared" si="170"/>
        <v>0</v>
      </c>
      <c r="E805" s="287"/>
      <c r="F805" s="287"/>
      <c r="G805" s="287"/>
      <c r="H805" s="287"/>
      <c r="I805" s="302"/>
      <c r="J805" s="303">
        <f t="shared" si="174"/>
        <v>0</v>
      </c>
      <c r="K805" s="294" t="s">
        <v>3555</v>
      </c>
      <c r="L805" s="44">
        <v>1</v>
      </c>
      <c r="M805" s="308" t="s">
        <v>2695</v>
      </c>
      <c r="N805" s="308"/>
      <c r="O805" s="308" t="s">
        <v>715</v>
      </c>
      <c r="P805" s="309" t="s">
        <v>4116</v>
      </c>
    </row>
    <row r="806" s="266" customFormat="1" ht="20.1" customHeight="1" spans="1:16">
      <c r="A806" s="279" t="s">
        <v>2697</v>
      </c>
      <c r="B806" s="41" t="s">
        <v>2698</v>
      </c>
      <c r="C806" s="287"/>
      <c r="D806" s="288">
        <f t="shared" si="170"/>
        <v>0</v>
      </c>
      <c r="E806" s="287"/>
      <c r="F806" s="287"/>
      <c r="G806" s="287"/>
      <c r="H806" s="287"/>
      <c r="I806" s="302"/>
      <c r="J806" s="303"/>
      <c r="K806" s="294" t="s">
        <v>3555</v>
      </c>
      <c r="L806" s="44">
        <v>1</v>
      </c>
      <c r="M806" s="308" t="s">
        <v>2697</v>
      </c>
      <c r="N806" s="308"/>
      <c r="O806" s="308" t="s">
        <v>715</v>
      </c>
      <c r="P806" s="309" t="s">
        <v>4117</v>
      </c>
    </row>
    <row r="807" s="266" customFormat="1" ht="20.1" customHeight="1" spans="1:16">
      <c r="A807" s="279" t="s">
        <v>2699</v>
      </c>
      <c r="B807" s="41" t="s">
        <v>2700</v>
      </c>
      <c r="C807" s="287">
        <v>4</v>
      </c>
      <c r="D807" s="288">
        <f t="shared" si="170"/>
        <v>0</v>
      </c>
      <c r="E807" s="287"/>
      <c r="F807" s="287"/>
      <c r="G807" s="287"/>
      <c r="H807" s="287"/>
      <c r="I807" s="302"/>
      <c r="J807" s="303">
        <f t="shared" ref="J807:J822" si="176">ROUND(IF(C807=0,IF(D807=0,0,1),IF(D807=0,-1,D807/C807)),4)*100</f>
        <v>-100</v>
      </c>
      <c r="K807" s="294" t="s">
        <v>3555</v>
      </c>
      <c r="L807" s="44">
        <v>1</v>
      </c>
      <c r="M807" s="308" t="s">
        <v>4118</v>
      </c>
      <c r="N807" s="308"/>
      <c r="O807" s="308" t="s">
        <v>715</v>
      </c>
      <c r="P807" s="309" t="s">
        <v>4119</v>
      </c>
    </row>
    <row r="808" s="266" customFormat="1" ht="20.1" customHeight="1" spans="1:16">
      <c r="A808" s="279" t="s">
        <v>2701</v>
      </c>
      <c r="B808" s="41" t="s">
        <v>2702</v>
      </c>
      <c r="C808" s="287">
        <v>1</v>
      </c>
      <c r="D808" s="288">
        <f t="shared" si="170"/>
        <v>0</v>
      </c>
      <c r="E808" s="287"/>
      <c r="F808" s="287"/>
      <c r="G808" s="287"/>
      <c r="H808" s="287"/>
      <c r="I808" s="302"/>
      <c r="J808" s="303">
        <f t="shared" si="176"/>
        <v>-100</v>
      </c>
      <c r="K808" s="294" t="s">
        <v>3555</v>
      </c>
      <c r="L808" s="44">
        <v>1</v>
      </c>
      <c r="M808" s="308" t="s">
        <v>2701</v>
      </c>
      <c r="N808" s="308"/>
      <c r="O808" s="308" t="s">
        <v>715</v>
      </c>
      <c r="P808" s="309" t="s">
        <v>4120</v>
      </c>
    </row>
    <row r="809" s="107" customFormat="1" ht="20.1" customHeight="1" spans="1:16">
      <c r="A809" s="283" t="s">
        <v>716</v>
      </c>
      <c r="B809" s="323" t="s">
        <v>2703</v>
      </c>
      <c r="C809" s="285">
        <f t="shared" ref="C809:I809" si="177">SUM(C810:C815)</f>
        <v>156</v>
      </c>
      <c r="D809" s="285">
        <f t="shared" si="170"/>
        <v>2271</v>
      </c>
      <c r="E809" s="285">
        <f t="shared" si="177"/>
        <v>1931</v>
      </c>
      <c r="F809" s="285">
        <f t="shared" si="177"/>
        <v>0</v>
      </c>
      <c r="G809" s="285">
        <f t="shared" si="177"/>
        <v>340</v>
      </c>
      <c r="H809" s="285">
        <f t="shared" si="177"/>
        <v>0</v>
      </c>
      <c r="I809" s="285">
        <f t="shared" si="177"/>
        <v>0</v>
      </c>
      <c r="J809" s="324">
        <f t="shared" si="176"/>
        <v>1455.77</v>
      </c>
      <c r="K809" s="300" t="s">
        <v>3551</v>
      </c>
      <c r="L809" s="301"/>
      <c r="M809" s="312" t="s">
        <v>716</v>
      </c>
      <c r="N809" s="312" t="s">
        <v>710</v>
      </c>
      <c r="O809" s="312" t="s">
        <v>716</v>
      </c>
      <c r="P809" s="313" t="s">
        <v>4121</v>
      </c>
    </row>
    <row r="810" s="266" customFormat="1" ht="20.1" customHeight="1" spans="1:16">
      <c r="A810" s="279" t="s">
        <v>2704</v>
      </c>
      <c r="B810" s="41" t="s">
        <v>2705</v>
      </c>
      <c r="C810" s="287">
        <v>151</v>
      </c>
      <c r="D810" s="288">
        <f t="shared" si="170"/>
        <v>2270</v>
      </c>
      <c r="E810" s="287">
        <v>1931</v>
      </c>
      <c r="F810" s="287"/>
      <c r="G810" s="287">
        <v>339</v>
      </c>
      <c r="H810" s="287"/>
      <c r="I810" s="302"/>
      <c r="J810" s="303">
        <f t="shared" si="176"/>
        <v>1503.31</v>
      </c>
      <c r="K810" s="294" t="s">
        <v>3555</v>
      </c>
      <c r="L810" s="44">
        <v>1</v>
      </c>
      <c r="M810" s="308" t="s">
        <v>2704</v>
      </c>
      <c r="N810" s="308"/>
      <c r="O810" s="308" t="s">
        <v>716</v>
      </c>
      <c r="P810" s="309" t="s">
        <v>4122</v>
      </c>
    </row>
    <row r="811" s="106" customFormat="1" ht="20.1" customHeight="1" spans="1:16">
      <c r="A811" s="279" t="s">
        <v>2706</v>
      </c>
      <c r="B811" s="41" t="s">
        <v>2707</v>
      </c>
      <c r="C811" s="287"/>
      <c r="D811" s="288">
        <f t="shared" si="170"/>
        <v>0</v>
      </c>
      <c r="E811" s="287"/>
      <c r="F811" s="287"/>
      <c r="G811" s="287"/>
      <c r="H811" s="287"/>
      <c r="I811" s="302"/>
      <c r="J811" s="303">
        <f t="shared" si="176"/>
        <v>0</v>
      </c>
      <c r="K811" s="294" t="s">
        <v>3555</v>
      </c>
      <c r="L811" s="44">
        <v>1</v>
      </c>
      <c r="M811" s="308" t="s">
        <v>2706</v>
      </c>
      <c r="N811" s="308"/>
      <c r="O811" s="308" t="s">
        <v>716</v>
      </c>
      <c r="P811" s="309" t="s">
        <v>4123</v>
      </c>
    </row>
    <row r="812" s="106" customFormat="1" ht="20.1" customHeight="1" spans="1:16">
      <c r="A812" s="279" t="s">
        <v>2708</v>
      </c>
      <c r="B812" s="41" t="s">
        <v>2709</v>
      </c>
      <c r="C812" s="287"/>
      <c r="D812" s="288">
        <f t="shared" si="170"/>
        <v>0</v>
      </c>
      <c r="E812" s="287"/>
      <c r="F812" s="287"/>
      <c r="G812" s="287"/>
      <c r="H812" s="287"/>
      <c r="I812" s="302"/>
      <c r="J812" s="303">
        <f t="shared" si="176"/>
        <v>0</v>
      </c>
      <c r="K812" s="294" t="s">
        <v>3555</v>
      </c>
      <c r="L812" s="44">
        <v>1</v>
      </c>
      <c r="M812" s="308" t="s">
        <v>2708</v>
      </c>
      <c r="N812" s="308"/>
      <c r="O812" s="308" t="s">
        <v>716</v>
      </c>
      <c r="P812" s="309" t="s">
        <v>4124</v>
      </c>
    </row>
    <row r="813" s="106" customFormat="1" ht="20.1" customHeight="1" spans="1:16">
      <c r="A813" s="279" t="s">
        <v>2710</v>
      </c>
      <c r="B813" s="41" t="s">
        <v>2711</v>
      </c>
      <c r="C813" s="287"/>
      <c r="D813" s="288">
        <f t="shared" si="170"/>
        <v>0</v>
      </c>
      <c r="E813" s="287"/>
      <c r="F813" s="287"/>
      <c r="G813" s="287"/>
      <c r="H813" s="287"/>
      <c r="I813" s="302"/>
      <c r="J813" s="303">
        <f t="shared" si="176"/>
        <v>0</v>
      </c>
      <c r="K813" s="294" t="s">
        <v>3555</v>
      </c>
      <c r="L813" s="44">
        <v>1</v>
      </c>
      <c r="M813" s="308" t="s">
        <v>2710</v>
      </c>
      <c r="N813" s="308"/>
      <c r="O813" s="308" t="s">
        <v>716</v>
      </c>
      <c r="P813" s="309" t="s">
        <v>4125</v>
      </c>
    </row>
    <row r="814" s="106" customFormat="1" ht="20.1" customHeight="1" spans="1:16">
      <c r="A814" s="279" t="s">
        <v>2712</v>
      </c>
      <c r="B814" s="41" t="s">
        <v>2713</v>
      </c>
      <c r="C814" s="287">
        <v>5</v>
      </c>
      <c r="D814" s="288">
        <f t="shared" si="170"/>
        <v>1</v>
      </c>
      <c r="E814" s="287"/>
      <c r="F814" s="287"/>
      <c r="G814" s="287">
        <v>1</v>
      </c>
      <c r="H814" s="287"/>
      <c r="I814" s="302"/>
      <c r="J814" s="303">
        <f t="shared" si="176"/>
        <v>20</v>
      </c>
      <c r="K814" s="294" t="s">
        <v>3555</v>
      </c>
      <c r="L814" s="44">
        <v>1</v>
      </c>
      <c r="M814" s="308" t="s">
        <v>2712</v>
      </c>
      <c r="N814" s="308"/>
      <c r="O814" s="308" t="s">
        <v>716</v>
      </c>
      <c r="P814" s="309" t="s">
        <v>4126</v>
      </c>
    </row>
    <row r="815" s="106" customFormat="1" ht="20.1" customHeight="1" spans="1:16">
      <c r="A815" s="279" t="s">
        <v>2714</v>
      </c>
      <c r="B815" s="41" t="s">
        <v>2715</v>
      </c>
      <c r="C815" s="287"/>
      <c r="D815" s="288">
        <f t="shared" si="170"/>
        <v>0</v>
      </c>
      <c r="E815" s="287"/>
      <c r="F815" s="287"/>
      <c r="G815" s="287"/>
      <c r="H815" s="287"/>
      <c r="I815" s="302"/>
      <c r="J815" s="303">
        <f t="shared" si="176"/>
        <v>0</v>
      </c>
      <c r="K815" s="294" t="s">
        <v>3555</v>
      </c>
      <c r="L815" s="44">
        <v>1</v>
      </c>
      <c r="M815" s="308" t="s">
        <v>2714</v>
      </c>
      <c r="N815" s="308"/>
      <c r="O815" s="308" t="s">
        <v>716</v>
      </c>
      <c r="P815" s="309" t="s">
        <v>4127</v>
      </c>
    </row>
    <row r="816" s="107" customFormat="1" ht="20.1" customHeight="1" spans="1:16">
      <c r="A816" s="283" t="s">
        <v>718</v>
      </c>
      <c r="B816" s="323" t="s">
        <v>2716</v>
      </c>
      <c r="C816" s="285">
        <v>0</v>
      </c>
      <c r="D816" s="285">
        <f t="shared" si="170"/>
        <v>0</v>
      </c>
      <c r="E816" s="285">
        <f t="shared" ref="E816:H816" si="178">SUM(E817:E818)</f>
        <v>0</v>
      </c>
      <c r="F816" s="285">
        <f t="shared" si="178"/>
        <v>0</v>
      </c>
      <c r="G816" s="285">
        <f>VLOOKUP(A816,[1]√表四、2025年公共财政支出变动表!$A$8:$S$221,18,FALSE)</f>
        <v>0</v>
      </c>
      <c r="H816" s="285">
        <f t="shared" si="178"/>
        <v>0</v>
      </c>
      <c r="I816" s="285"/>
      <c r="J816" s="324">
        <f t="shared" si="176"/>
        <v>0</v>
      </c>
      <c r="K816" s="300" t="s">
        <v>3551</v>
      </c>
      <c r="L816" s="301"/>
      <c r="M816" s="312" t="s">
        <v>718</v>
      </c>
      <c r="N816" s="312" t="s">
        <v>710</v>
      </c>
      <c r="O816" s="312" t="s">
        <v>718</v>
      </c>
      <c r="P816" s="313" t="s">
        <v>4128</v>
      </c>
    </row>
    <row r="817" s="106" customFormat="1" ht="20.1" customHeight="1" spans="1:16">
      <c r="A817" s="279" t="s">
        <v>2717</v>
      </c>
      <c r="B817" s="41" t="s">
        <v>2718</v>
      </c>
      <c r="C817" s="287">
        <v>0</v>
      </c>
      <c r="D817" s="288">
        <f t="shared" si="170"/>
        <v>0</v>
      </c>
      <c r="E817" s="287"/>
      <c r="F817" s="287"/>
      <c r="G817" s="287"/>
      <c r="H817" s="287"/>
      <c r="I817" s="302"/>
      <c r="J817" s="303">
        <f t="shared" si="176"/>
        <v>0</v>
      </c>
      <c r="K817" s="294" t="s">
        <v>3555</v>
      </c>
      <c r="L817" s="44">
        <v>1</v>
      </c>
      <c r="M817" s="308" t="s">
        <v>2717</v>
      </c>
      <c r="N817" s="308"/>
      <c r="O817" s="308" t="s">
        <v>718</v>
      </c>
      <c r="P817" s="309" t="s">
        <v>4129</v>
      </c>
    </row>
    <row r="818" s="106" customFormat="1" ht="20.1" customHeight="1" spans="1:16">
      <c r="A818" s="279" t="s">
        <v>2719</v>
      </c>
      <c r="B818" s="41" t="s">
        <v>2720</v>
      </c>
      <c r="C818" s="287">
        <v>0</v>
      </c>
      <c r="D818" s="288">
        <f t="shared" si="170"/>
        <v>0</v>
      </c>
      <c r="E818" s="287"/>
      <c r="F818" s="287"/>
      <c r="G818" s="287"/>
      <c r="H818" s="287"/>
      <c r="I818" s="302"/>
      <c r="J818" s="303">
        <f t="shared" si="176"/>
        <v>0</v>
      </c>
      <c r="K818" s="294" t="s">
        <v>3555</v>
      </c>
      <c r="L818" s="44">
        <v>1</v>
      </c>
      <c r="M818" s="308" t="s">
        <v>2719</v>
      </c>
      <c r="N818" s="308"/>
      <c r="O818" s="308" t="s">
        <v>718</v>
      </c>
      <c r="P818" s="309" t="s">
        <v>4130</v>
      </c>
    </row>
    <row r="819" s="107" customFormat="1" ht="20.1" customHeight="1" spans="1:16">
      <c r="A819" s="283" t="s">
        <v>2721</v>
      </c>
      <c r="B819" s="323" t="s">
        <v>2722</v>
      </c>
      <c r="C819" s="285">
        <v>0</v>
      </c>
      <c r="D819" s="285">
        <f t="shared" si="170"/>
        <v>0</v>
      </c>
      <c r="E819" s="285">
        <f t="shared" ref="E819:H819" si="179">SUM(E820:E821)</f>
        <v>0</v>
      </c>
      <c r="F819" s="285">
        <f t="shared" si="179"/>
        <v>0</v>
      </c>
      <c r="G819" s="285">
        <f t="shared" si="179"/>
        <v>0</v>
      </c>
      <c r="H819" s="285">
        <f t="shared" si="179"/>
        <v>0</v>
      </c>
      <c r="I819" s="285"/>
      <c r="J819" s="324">
        <f t="shared" si="176"/>
        <v>0</v>
      </c>
      <c r="K819" s="300" t="s">
        <v>3551</v>
      </c>
      <c r="L819" s="301"/>
      <c r="M819" s="312" t="s">
        <v>2721</v>
      </c>
      <c r="N819" s="312" t="s">
        <v>710</v>
      </c>
      <c r="O819" s="312" t="s">
        <v>2721</v>
      </c>
      <c r="P819" s="313" t="s">
        <v>4131</v>
      </c>
    </row>
    <row r="820" s="106" customFormat="1" ht="20.1" customHeight="1" spans="1:16">
      <c r="A820" s="279" t="s">
        <v>2723</v>
      </c>
      <c r="B820" s="41" t="s">
        <v>2724</v>
      </c>
      <c r="C820" s="287">
        <v>0</v>
      </c>
      <c r="D820" s="288">
        <f t="shared" si="170"/>
        <v>0</v>
      </c>
      <c r="E820" s="287"/>
      <c r="F820" s="287"/>
      <c r="G820" s="287"/>
      <c r="H820" s="287"/>
      <c r="I820" s="302"/>
      <c r="J820" s="303">
        <f t="shared" si="176"/>
        <v>0</v>
      </c>
      <c r="K820" s="294" t="s">
        <v>3555</v>
      </c>
      <c r="L820" s="44">
        <v>1</v>
      </c>
      <c r="M820" s="308" t="s">
        <v>2723</v>
      </c>
      <c r="N820" s="308"/>
      <c r="O820" s="308" t="s">
        <v>2721</v>
      </c>
      <c r="P820" s="309" t="s">
        <v>4132</v>
      </c>
    </row>
    <row r="821" s="106" customFormat="1" ht="20.1" customHeight="1" spans="1:16">
      <c r="A821" s="279" t="s">
        <v>2725</v>
      </c>
      <c r="B821" s="41" t="s">
        <v>2726</v>
      </c>
      <c r="C821" s="287">
        <v>0</v>
      </c>
      <c r="D821" s="288">
        <f t="shared" si="170"/>
        <v>0</v>
      </c>
      <c r="E821" s="287"/>
      <c r="F821" s="287"/>
      <c r="G821" s="287"/>
      <c r="H821" s="287"/>
      <c r="I821" s="302"/>
      <c r="J821" s="303">
        <f t="shared" si="176"/>
        <v>0</v>
      </c>
      <c r="K821" s="294" t="s">
        <v>3555</v>
      </c>
      <c r="L821" s="44">
        <v>1</v>
      </c>
      <c r="M821" s="308" t="s">
        <v>2725</v>
      </c>
      <c r="N821" s="308"/>
      <c r="O821" s="308" t="s">
        <v>2721</v>
      </c>
      <c r="P821" s="309" t="s">
        <v>4133</v>
      </c>
    </row>
    <row r="822" s="107" customFormat="1" ht="20.1" customHeight="1" spans="1:16">
      <c r="A822" s="283" t="s">
        <v>719</v>
      </c>
      <c r="B822" s="323" t="s">
        <v>2727</v>
      </c>
      <c r="C822" s="285">
        <f t="shared" ref="C822:I822" si="180">C823</f>
        <v>0</v>
      </c>
      <c r="D822" s="285">
        <f t="shared" si="170"/>
        <v>0</v>
      </c>
      <c r="E822" s="285">
        <f t="shared" si="180"/>
        <v>0</v>
      </c>
      <c r="F822" s="285">
        <f t="shared" si="180"/>
        <v>0</v>
      </c>
      <c r="G822" s="285">
        <f t="shared" si="180"/>
        <v>0</v>
      </c>
      <c r="H822" s="285">
        <f t="shared" si="180"/>
        <v>0</v>
      </c>
      <c r="I822" s="285">
        <f t="shared" si="180"/>
        <v>0</v>
      </c>
      <c r="J822" s="324">
        <f t="shared" si="176"/>
        <v>0</v>
      </c>
      <c r="K822" s="300" t="s">
        <v>3551</v>
      </c>
      <c r="L822" s="301">
        <v>1</v>
      </c>
      <c r="M822" s="312" t="s">
        <v>719</v>
      </c>
      <c r="N822" s="312" t="s">
        <v>710</v>
      </c>
      <c r="O822" s="312" t="s">
        <v>719</v>
      </c>
      <c r="P822" s="313" t="s">
        <v>4134</v>
      </c>
    </row>
    <row r="823" s="106" customFormat="1" ht="20.1" customHeight="1" spans="1:16">
      <c r="A823" s="279" t="s">
        <v>2728</v>
      </c>
      <c r="B823" s="289" t="s">
        <v>2729</v>
      </c>
      <c r="C823" s="287"/>
      <c r="D823" s="287">
        <f t="shared" si="170"/>
        <v>0</v>
      </c>
      <c r="E823" s="287"/>
      <c r="F823" s="287"/>
      <c r="G823" s="287"/>
      <c r="H823" s="287"/>
      <c r="I823" s="287"/>
      <c r="J823" s="236"/>
      <c r="K823" s="294" t="s">
        <v>3555</v>
      </c>
      <c r="L823" s="44">
        <v>1</v>
      </c>
      <c r="M823" s="342">
        <v>2110901</v>
      </c>
      <c r="N823" s="308"/>
      <c r="O823" s="308" t="s">
        <v>719</v>
      </c>
      <c r="P823" s="309" t="s">
        <v>4134</v>
      </c>
    </row>
    <row r="824" s="107" customFormat="1" ht="20.1" customHeight="1" spans="1:16">
      <c r="A824" s="283" t="s">
        <v>720</v>
      </c>
      <c r="B824" s="323" t="s">
        <v>2730</v>
      </c>
      <c r="C824" s="285">
        <f t="shared" ref="C824:I824" si="181">C825</f>
        <v>0</v>
      </c>
      <c r="D824" s="285">
        <f t="shared" si="170"/>
        <v>61</v>
      </c>
      <c r="E824" s="285">
        <f t="shared" si="181"/>
        <v>0</v>
      </c>
      <c r="F824" s="285">
        <f t="shared" si="181"/>
        <v>0</v>
      </c>
      <c r="G824" s="285">
        <f t="shared" si="181"/>
        <v>61</v>
      </c>
      <c r="H824" s="285">
        <f t="shared" si="181"/>
        <v>0</v>
      </c>
      <c r="I824" s="285">
        <f t="shared" si="181"/>
        <v>0</v>
      </c>
      <c r="J824" s="324">
        <f t="shared" ref="J824:J832" si="182">ROUND(IF(C824=0,IF(D824=0,0,1),IF(D824=0,-1,D824/C824)),4)*100</f>
        <v>100</v>
      </c>
      <c r="K824" s="300" t="s">
        <v>3551</v>
      </c>
      <c r="L824" s="301">
        <v>1</v>
      </c>
      <c r="M824" s="312" t="s">
        <v>720</v>
      </c>
      <c r="N824" s="312" t="s">
        <v>710</v>
      </c>
      <c r="O824" s="312" t="s">
        <v>720</v>
      </c>
      <c r="P824" s="313" t="s">
        <v>4135</v>
      </c>
    </row>
    <row r="825" s="106" customFormat="1" ht="20.1" customHeight="1" spans="1:16">
      <c r="A825" s="279" t="s">
        <v>2731</v>
      </c>
      <c r="B825" s="289" t="s">
        <v>2732</v>
      </c>
      <c r="C825" s="287"/>
      <c r="D825" s="287">
        <f t="shared" si="170"/>
        <v>61</v>
      </c>
      <c r="E825" s="287"/>
      <c r="F825" s="287"/>
      <c r="G825" s="287">
        <v>61</v>
      </c>
      <c r="H825" s="287"/>
      <c r="I825" s="287"/>
      <c r="J825" s="236"/>
      <c r="K825" s="294" t="s">
        <v>3555</v>
      </c>
      <c r="L825" s="44">
        <v>1</v>
      </c>
      <c r="M825" s="343" t="s">
        <v>2731</v>
      </c>
      <c r="N825" s="308"/>
      <c r="O825" s="308" t="s">
        <v>720</v>
      </c>
      <c r="P825" s="309" t="s">
        <v>4135</v>
      </c>
    </row>
    <row r="826" s="107" customFormat="1" ht="20.1" customHeight="1" spans="1:16">
      <c r="A826" s="283" t="s">
        <v>721</v>
      </c>
      <c r="B826" s="323" t="s">
        <v>2733</v>
      </c>
      <c r="C826" s="285">
        <f t="shared" ref="C826:I826" si="183">SUM(C827:C831)</f>
        <v>31</v>
      </c>
      <c r="D826" s="285">
        <f t="shared" si="170"/>
        <v>100</v>
      </c>
      <c r="E826" s="285">
        <f t="shared" si="183"/>
        <v>0</v>
      </c>
      <c r="F826" s="285">
        <f t="shared" si="183"/>
        <v>0</v>
      </c>
      <c r="G826" s="285">
        <f t="shared" si="183"/>
        <v>0</v>
      </c>
      <c r="H826" s="285">
        <f t="shared" si="183"/>
        <v>0</v>
      </c>
      <c r="I826" s="285">
        <f t="shared" si="183"/>
        <v>100</v>
      </c>
      <c r="J826" s="324">
        <f t="shared" si="182"/>
        <v>322.58</v>
      </c>
      <c r="K826" s="300" t="s">
        <v>3551</v>
      </c>
      <c r="L826" s="301"/>
      <c r="M826" s="312" t="s">
        <v>721</v>
      </c>
      <c r="N826" s="312" t="s">
        <v>710</v>
      </c>
      <c r="O826" s="312" t="s">
        <v>721</v>
      </c>
      <c r="P826" s="313" t="s">
        <v>4136</v>
      </c>
    </row>
    <row r="827" s="106" customFormat="1" ht="20.1" customHeight="1" spans="1:16">
      <c r="A827" s="279" t="s">
        <v>2734</v>
      </c>
      <c r="B827" s="41" t="s">
        <v>2735</v>
      </c>
      <c r="C827" s="287">
        <v>31</v>
      </c>
      <c r="D827" s="288">
        <f t="shared" si="170"/>
        <v>100</v>
      </c>
      <c r="E827" s="287"/>
      <c r="F827" s="287"/>
      <c r="G827" s="287"/>
      <c r="H827" s="287"/>
      <c r="I827" s="302">
        <v>100</v>
      </c>
      <c r="J827" s="303">
        <f t="shared" si="182"/>
        <v>322.58</v>
      </c>
      <c r="K827" s="294" t="s">
        <v>3555</v>
      </c>
      <c r="L827" s="44">
        <v>1</v>
      </c>
      <c r="M827" s="308" t="s">
        <v>2734</v>
      </c>
      <c r="N827" s="308"/>
      <c r="O827" s="308" t="s">
        <v>721</v>
      </c>
      <c r="P827" s="314" t="s">
        <v>4137</v>
      </c>
    </row>
    <row r="828" s="106" customFormat="1" ht="20.1" customHeight="1" spans="1:16">
      <c r="A828" s="279" t="s">
        <v>2736</v>
      </c>
      <c r="B828" s="41" t="s">
        <v>2737</v>
      </c>
      <c r="C828" s="287"/>
      <c r="D828" s="288">
        <f t="shared" si="170"/>
        <v>0</v>
      </c>
      <c r="E828" s="287"/>
      <c r="F828" s="287"/>
      <c r="G828" s="287"/>
      <c r="H828" s="287"/>
      <c r="I828" s="302"/>
      <c r="J828" s="303">
        <f t="shared" si="182"/>
        <v>0</v>
      </c>
      <c r="K828" s="294" t="s">
        <v>3555</v>
      </c>
      <c r="L828" s="44">
        <v>1</v>
      </c>
      <c r="M828" s="308" t="s">
        <v>2736</v>
      </c>
      <c r="N828" s="308"/>
      <c r="O828" s="308" t="s">
        <v>721</v>
      </c>
      <c r="P828" s="314" t="s">
        <v>4138</v>
      </c>
    </row>
    <row r="829" s="106" customFormat="1" ht="20.1" customHeight="1" spans="1:16">
      <c r="A829" s="279" t="s">
        <v>2738</v>
      </c>
      <c r="B829" s="41" t="s">
        <v>2739</v>
      </c>
      <c r="C829" s="287"/>
      <c r="D829" s="288">
        <f t="shared" si="170"/>
        <v>0</v>
      </c>
      <c r="E829" s="287"/>
      <c r="F829" s="287"/>
      <c r="G829" s="287"/>
      <c r="H829" s="287"/>
      <c r="I829" s="302"/>
      <c r="J829" s="303">
        <f t="shared" si="182"/>
        <v>0</v>
      </c>
      <c r="K829" s="294" t="s">
        <v>3555</v>
      </c>
      <c r="L829" s="44">
        <v>1</v>
      </c>
      <c r="M829" s="308" t="s">
        <v>2738</v>
      </c>
      <c r="N829" s="308"/>
      <c r="O829" s="308" t="s">
        <v>721</v>
      </c>
      <c r="P829" s="309" t="s">
        <v>4139</v>
      </c>
    </row>
    <row r="830" s="106" customFormat="1" ht="20.1" customHeight="1" spans="1:16">
      <c r="A830" s="279" t="s">
        <v>2740</v>
      </c>
      <c r="B830" s="41" t="s">
        <v>2741</v>
      </c>
      <c r="C830" s="287"/>
      <c r="D830" s="288">
        <f t="shared" si="170"/>
        <v>0</v>
      </c>
      <c r="E830" s="287"/>
      <c r="F830" s="287"/>
      <c r="G830" s="287"/>
      <c r="H830" s="287"/>
      <c r="I830" s="302"/>
      <c r="J830" s="303">
        <f t="shared" si="182"/>
        <v>0</v>
      </c>
      <c r="K830" s="294" t="s">
        <v>3555</v>
      </c>
      <c r="L830" s="44">
        <v>1</v>
      </c>
      <c r="M830" s="308" t="s">
        <v>2740</v>
      </c>
      <c r="N830" s="308"/>
      <c r="O830" s="308" t="s">
        <v>721</v>
      </c>
      <c r="P830" s="309" t="s">
        <v>4140</v>
      </c>
    </row>
    <row r="831" s="106" customFormat="1" ht="20.1" customHeight="1" spans="1:16">
      <c r="A831" s="279" t="s">
        <v>2742</v>
      </c>
      <c r="B831" s="41" t="s">
        <v>2743</v>
      </c>
      <c r="C831" s="287"/>
      <c r="D831" s="288">
        <f t="shared" si="170"/>
        <v>0</v>
      </c>
      <c r="E831" s="287"/>
      <c r="F831" s="287"/>
      <c r="G831" s="287"/>
      <c r="H831" s="287"/>
      <c r="I831" s="302"/>
      <c r="J831" s="303">
        <f t="shared" si="182"/>
        <v>0</v>
      </c>
      <c r="K831" s="294" t="s">
        <v>3555</v>
      </c>
      <c r="L831" s="44">
        <v>1</v>
      </c>
      <c r="M831" s="308" t="s">
        <v>2742</v>
      </c>
      <c r="N831" s="308"/>
      <c r="O831" s="308" t="s">
        <v>721</v>
      </c>
      <c r="P831" s="309" t="s">
        <v>4141</v>
      </c>
    </row>
    <row r="832" s="107" customFormat="1" ht="20.1" customHeight="1" spans="1:16">
      <c r="A832" s="283" t="s">
        <v>722</v>
      </c>
      <c r="B832" s="323" t="s">
        <v>2744</v>
      </c>
      <c r="C832" s="285">
        <f t="shared" ref="C832:I832" si="184">SUM(C833:C834)</f>
        <v>18</v>
      </c>
      <c r="D832" s="285">
        <f t="shared" si="170"/>
        <v>0</v>
      </c>
      <c r="E832" s="285">
        <f t="shared" si="184"/>
        <v>0</v>
      </c>
      <c r="F832" s="285">
        <f t="shared" si="184"/>
        <v>0</v>
      </c>
      <c r="G832" s="285">
        <f t="shared" si="184"/>
        <v>0</v>
      </c>
      <c r="H832" s="285">
        <f t="shared" si="184"/>
        <v>0</v>
      </c>
      <c r="I832" s="285">
        <f t="shared" si="184"/>
        <v>0</v>
      </c>
      <c r="J832" s="324">
        <f t="shared" si="182"/>
        <v>-100</v>
      </c>
      <c r="K832" s="300" t="s">
        <v>3551</v>
      </c>
      <c r="L832" s="301">
        <v>1</v>
      </c>
      <c r="M832" s="312" t="s">
        <v>722</v>
      </c>
      <c r="N832" s="312" t="s">
        <v>710</v>
      </c>
      <c r="O832" s="312" t="s">
        <v>722</v>
      </c>
      <c r="P832" s="313" t="s">
        <v>4142</v>
      </c>
    </row>
    <row r="833" s="107" customFormat="1" ht="20.1" customHeight="1" spans="1:16">
      <c r="A833" s="279" t="s">
        <v>2745</v>
      </c>
      <c r="B833" s="41" t="s">
        <v>2746</v>
      </c>
      <c r="C833" s="288">
        <v>18</v>
      </c>
      <c r="D833" s="288">
        <f t="shared" si="170"/>
        <v>0</v>
      </c>
      <c r="E833" s="288"/>
      <c r="F833" s="288"/>
      <c r="G833" s="288"/>
      <c r="H833" s="288"/>
      <c r="I833" s="288"/>
      <c r="J833" s="344"/>
      <c r="K833" s="294" t="s">
        <v>3555</v>
      </c>
      <c r="L833" s="44">
        <v>1</v>
      </c>
      <c r="M833" s="308" t="s">
        <v>2745</v>
      </c>
      <c r="N833" s="320"/>
      <c r="O833" s="308" t="s">
        <v>722</v>
      </c>
      <c r="P833" s="340" t="s">
        <v>4142</v>
      </c>
    </row>
    <row r="834" s="106" customFormat="1" ht="20.1" customHeight="1" spans="1:16">
      <c r="A834" s="279" t="s">
        <v>2747</v>
      </c>
      <c r="B834" s="41" t="s">
        <v>2748</v>
      </c>
      <c r="C834" s="287">
        <v>0</v>
      </c>
      <c r="D834" s="288">
        <f t="shared" si="170"/>
        <v>0</v>
      </c>
      <c r="E834" s="287"/>
      <c r="F834" s="287"/>
      <c r="G834" s="287"/>
      <c r="H834" s="287"/>
      <c r="I834" s="302"/>
      <c r="J834" s="303"/>
      <c r="K834" s="294" t="s">
        <v>3555</v>
      </c>
      <c r="L834" s="44">
        <v>1</v>
      </c>
      <c r="M834" s="308" t="s">
        <v>2747</v>
      </c>
      <c r="N834" s="308"/>
      <c r="O834" s="308" t="s">
        <v>722</v>
      </c>
      <c r="P834" s="340" t="s">
        <v>4143</v>
      </c>
    </row>
    <row r="835" s="107" customFormat="1" ht="20.1" customHeight="1" spans="1:16">
      <c r="A835" s="283" t="s">
        <v>723</v>
      </c>
      <c r="B835" s="323" t="s">
        <v>2749</v>
      </c>
      <c r="C835" s="285">
        <f t="shared" ref="C835:I835" si="185">C836</f>
        <v>0</v>
      </c>
      <c r="D835" s="285">
        <f t="shared" si="170"/>
        <v>0</v>
      </c>
      <c r="E835" s="285">
        <f t="shared" si="185"/>
        <v>0</v>
      </c>
      <c r="F835" s="285">
        <f t="shared" si="185"/>
        <v>0</v>
      </c>
      <c r="G835" s="285">
        <f t="shared" si="185"/>
        <v>0</v>
      </c>
      <c r="H835" s="285">
        <f t="shared" si="185"/>
        <v>0</v>
      </c>
      <c r="I835" s="285">
        <f t="shared" si="185"/>
        <v>0</v>
      </c>
      <c r="J835" s="324">
        <f t="shared" ref="J835:J848" si="186">ROUND(IF(C835=0,IF(D835=0,0,1),IF(D835=0,-1,D835/C835)),4)*100</f>
        <v>0</v>
      </c>
      <c r="K835" s="300" t="s">
        <v>3551</v>
      </c>
      <c r="L835" s="301">
        <v>1</v>
      </c>
      <c r="M835" s="312" t="s">
        <v>723</v>
      </c>
      <c r="N835" s="312" t="s">
        <v>710</v>
      </c>
      <c r="O835" s="312" t="s">
        <v>723</v>
      </c>
      <c r="P835" s="313" t="s">
        <v>4144</v>
      </c>
    </row>
    <row r="836" s="106" customFormat="1" ht="20.1" customHeight="1" spans="1:16">
      <c r="A836" s="279" t="s">
        <v>2750</v>
      </c>
      <c r="B836" s="289" t="s">
        <v>2751</v>
      </c>
      <c r="C836" s="287"/>
      <c r="D836" s="287">
        <f t="shared" si="170"/>
        <v>0</v>
      </c>
      <c r="E836" s="287"/>
      <c r="F836" s="287"/>
      <c r="G836" s="287"/>
      <c r="H836" s="287"/>
      <c r="I836" s="287"/>
      <c r="J836" s="236"/>
      <c r="K836" s="294" t="s">
        <v>3555</v>
      </c>
      <c r="L836" s="44">
        <v>1</v>
      </c>
      <c r="M836" s="308" t="s">
        <v>2750</v>
      </c>
      <c r="N836" s="308"/>
      <c r="O836" s="308" t="s">
        <v>723</v>
      </c>
      <c r="P836" s="309" t="s">
        <v>4144</v>
      </c>
    </row>
    <row r="837" s="107" customFormat="1" ht="20.1" customHeight="1" spans="1:16">
      <c r="A837" s="283" t="s">
        <v>724</v>
      </c>
      <c r="B837" s="323" t="s">
        <v>2752</v>
      </c>
      <c r="C837" s="285">
        <f t="shared" ref="C837:I837" si="187">SUM(C838:C847)</f>
        <v>0</v>
      </c>
      <c r="D837" s="285">
        <f t="shared" si="187"/>
        <v>7</v>
      </c>
      <c r="E837" s="285">
        <f t="shared" si="187"/>
        <v>0</v>
      </c>
      <c r="F837" s="285">
        <f t="shared" si="187"/>
        <v>0</v>
      </c>
      <c r="G837" s="285">
        <f t="shared" si="187"/>
        <v>0</v>
      </c>
      <c r="H837" s="285">
        <f t="shared" si="187"/>
        <v>0</v>
      </c>
      <c r="I837" s="285">
        <f t="shared" si="187"/>
        <v>7</v>
      </c>
      <c r="J837" s="324">
        <f t="shared" si="186"/>
        <v>100</v>
      </c>
      <c r="K837" s="300" t="s">
        <v>3551</v>
      </c>
      <c r="L837" s="301"/>
      <c r="M837" s="312" t="s">
        <v>724</v>
      </c>
      <c r="N837" s="312" t="s">
        <v>710</v>
      </c>
      <c r="O837" s="312" t="s">
        <v>724</v>
      </c>
      <c r="P837" s="313" t="s">
        <v>4145</v>
      </c>
    </row>
    <row r="838" s="106" customFormat="1" ht="20.1" customHeight="1" spans="1:16">
      <c r="A838" s="279" t="s">
        <v>2753</v>
      </c>
      <c r="B838" s="41" t="s">
        <v>1458</v>
      </c>
      <c r="C838" s="287">
        <v>0</v>
      </c>
      <c r="D838" s="288">
        <f t="shared" ref="D838:D901" si="188">SUM(E838:I838)</f>
        <v>0</v>
      </c>
      <c r="E838" s="287"/>
      <c r="F838" s="287"/>
      <c r="G838" s="287"/>
      <c r="H838" s="287"/>
      <c r="I838" s="302"/>
      <c r="J838" s="303">
        <f t="shared" si="186"/>
        <v>0</v>
      </c>
      <c r="K838" s="294" t="s">
        <v>3555</v>
      </c>
      <c r="L838" s="44">
        <v>1</v>
      </c>
      <c r="M838" s="308" t="s">
        <v>2753</v>
      </c>
      <c r="N838" s="308"/>
      <c r="O838" s="308" t="s">
        <v>724</v>
      </c>
      <c r="P838" s="314" t="s">
        <v>3556</v>
      </c>
    </row>
    <row r="839" s="106" customFormat="1" ht="20.1" customHeight="1" spans="1:16">
      <c r="A839" s="279" t="s">
        <v>2754</v>
      </c>
      <c r="B839" s="41" t="s">
        <v>1460</v>
      </c>
      <c r="C839" s="287">
        <v>0</v>
      </c>
      <c r="D839" s="288">
        <f t="shared" si="188"/>
        <v>0</v>
      </c>
      <c r="E839" s="287"/>
      <c r="F839" s="287"/>
      <c r="G839" s="287"/>
      <c r="H839" s="287"/>
      <c r="I839" s="302"/>
      <c r="J839" s="303">
        <f t="shared" si="186"/>
        <v>0</v>
      </c>
      <c r="K839" s="294" t="s">
        <v>3555</v>
      </c>
      <c r="L839" s="44">
        <v>1</v>
      </c>
      <c r="M839" s="308" t="s">
        <v>2754</v>
      </c>
      <c r="N839" s="308"/>
      <c r="O839" s="308" t="s">
        <v>724</v>
      </c>
      <c r="P839" s="314" t="s">
        <v>3557</v>
      </c>
    </row>
    <row r="840" s="106" customFormat="1" ht="20.1" customHeight="1" spans="1:16">
      <c r="A840" s="279" t="s">
        <v>2755</v>
      </c>
      <c r="B840" s="41" t="s">
        <v>1462</v>
      </c>
      <c r="C840" s="287">
        <v>0</v>
      </c>
      <c r="D840" s="288">
        <f t="shared" si="188"/>
        <v>0</v>
      </c>
      <c r="E840" s="287"/>
      <c r="F840" s="287"/>
      <c r="G840" s="287"/>
      <c r="H840" s="287"/>
      <c r="I840" s="302"/>
      <c r="J840" s="303">
        <f t="shared" si="186"/>
        <v>0</v>
      </c>
      <c r="K840" s="294" t="s">
        <v>3555</v>
      </c>
      <c r="L840" s="44">
        <v>1</v>
      </c>
      <c r="M840" s="308" t="s">
        <v>2755</v>
      </c>
      <c r="N840" s="308"/>
      <c r="O840" s="308" t="s">
        <v>724</v>
      </c>
      <c r="P840" s="314" t="s">
        <v>3558</v>
      </c>
    </row>
    <row r="841" s="106" customFormat="1" ht="20.1" customHeight="1" spans="1:16">
      <c r="A841" s="279" t="s">
        <v>2756</v>
      </c>
      <c r="B841" s="41" t="s">
        <v>2757</v>
      </c>
      <c r="C841" s="287">
        <v>0</v>
      </c>
      <c r="D841" s="288">
        <f t="shared" si="188"/>
        <v>0</v>
      </c>
      <c r="E841" s="287"/>
      <c r="F841" s="287"/>
      <c r="G841" s="287"/>
      <c r="H841" s="287"/>
      <c r="I841" s="302"/>
      <c r="J841" s="303">
        <f t="shared" si="186"/>
        <v>0</v>
      </c>
      <c r="K841" s="294" t="s">
        <v>3555</v>
      </c>
      <c r="L841" s="44">
        <v>1</v>
      </c>
      <c r="M841" s="308" t="s">
        <v>2756</v>
      </c>
      <c r="N841" s="308"/>
      <c r="O841" s="308" t="s">
        <v>724</v>
      </c>
      <c r="P841" s="309" t="s">
        <v>4146</v>
      </c>
    </row>
    <row r="842" s="106" customFormat="1" ht="20.1" customHeight="1" spans="1:16">
      <c r="A842" s="279" t="s">
        <v>2758</v>
      </c>
      <c r="B842" s="41" t="s">
        <v>2759</v>
      </c>
      <c r="C842" s="287">
        <v>0</v>
      </c>
      <c r="D842" s="288">
        <f t="shared" si="188"/>
        <v>0</v>
      </c>
      <c r="E842" s="287"/>
      <c r="F842" s="287"/>
      <c r="G842" s="287"/>
      <c r="H842" s="287"/>
      <c r="I842" s="302"/>
      <c r="J842" s="303">
        <f t="shared" si="186"/>
        <v>0</v>
      </c>
      <c r="K842" s="294" t="s">
        <v>3555</v>
      </c>
      <c r="L842" s="44">
        <v>1</v>
      </c>
      <c r="M842" s="308" t="s">
        <v>2758</v>
      </c>
      <c r="N842" s="308"/>
      <c r="O842" s="308" t="s">
        <v>724</v>
      </c>
      <c r="P842" s="309" t="s">
        <v>4147</v>
      </c>
    </row>
    <row r="843" s="106" customFormat="1" ht="20.1" customHeight="1" spans="1:16">
      <c r="A843" s="279" t="s">
        <v>2760</v>
      </c>
      <c r="B843" s="41" t="s">
        <v>2761</v>
      </c>
      <c r="C843" s="287">
        <v>0</v>
      </c>
      <c r="D843" s="288">
        <f t="shared" si="188"/>
        <v>0</v>
      </c>
      <c r="E843" s="287"/>
      <c r="F843" s="287"/>
      <c r="G843" s="287"/>
      <c r="H843" s="287"/>
      <c r="I843" s="302"/>
      <c r="J843" s="303">
        <f t="shared" si="186"/>
        <v>0</v>
      </c>
      <c r="K843" s="294" t="s">
        <v>3555</v>
      </c>
      <c r="L843" s="44">
        <v>1</v>
      </c>
      <c r="M843" s="308" t="s">
        <v>2760</v>
      </c>
      <c r="N843" s="308"/>
      <c r="O843" s="308" t="s">
        <v>724</v>
      </c>
      <c r="P843" s="309" t="s">
        <v>4148</v>
      </c>
    </row>
    <row r="844" s="106" customFormat="1" ht="20.1" customHeight="1" spans="1:16">
      <c r="A844" s="279" t="s">
        <v>2762</v>
      </c>
      <c r="B844" s="41" t="s">
        <v>1553</v>
      </c>
      <c r="C844" s="287"/>
      <c r="D844" s="288">
        <f t="shared" si="188"/>
        <v>7</v>
      </c>
      <c r="E844" s="287"/>
      <c r="F844" s="287"/>
      <c r="G844" s="287"/>
      <c r="H844" s="287"/>
      <c r="I844" s="302">
        <v>7</v>
      </c>
      <c r="J844" s="303">
        <f t="shared" si="186"/>
        <v>100</v>
      </c>
      <c r="K844" s="294" t="s">
        <v>3555</v>
      </c>
      <c r="L844" s="44">
        <v>1</v>
      </c>
      <c r="M844" s="308" t="s">
        <v>2762</v>
      </c>
      <c r="N844" s="308"/>
      <c r="O844" s="308" t="s">
        <v>724</v>
      </c>
      <c r="P844" s="314" t="s">
        <v>3596</v>
      </c>
    </row>
    <row r="845" s="106" customFormat="1" ht="20.1" customHeight="1" spans="1:16">
      <c r="A845" s="279" t="s">
        <v>2763</v>
      </c>
      <c r="B845" s="41" t="s">
        <v>2764</v>
      </c>
      <c r="C845" s="287">
        <v>0</v>
      </c>
      <c r="D845" s="288">
        <f t="shared" si="188"/>
        <v>0</v>
      </c>
      <c r="E845" s="287"/>
      <c r="F845" s="287"/>
      <c r="G845" s="287"/>
      <c r="H845" s="287"/>
      <c r="I845" s="302"/>
      <c r="J845" s="303">
        <f t="shared" si="186"/>
        <v>0</v>
      </c>
      <c r="K845" s="294" t="s">
        <v>3555</v>
      </c>
      <c r="L845" s="44">
        <v>1</v>
      </c>
      <c r="M845" s="308" t="s">
        <v>2763</v>
      </c>
      <c r="N845" s="308"/>
      <c r="O845" s="308" t="s">
        <v>724</v>
      </c>
      <c r="P845" s="309" t="s">
        <v>4149</v>
      </c>
    </row>
    <row r="846" s="106" customFormat="1" ht="20.1" customHeight="1" spans="1:16">
      <c r="A846" s="279" t="s">
        <v>2765</v>
      </c>
      <c r="B846" s="41" t="s">
        <v>1476</v>
      </c>
      <c r="C846" s="287">
        <v>0</v>
      </c>
      <c r="D846" s="288">
        <f t="shared" si="188"/>
        <v>0</v>
      </c>
      <c r="E846" s="287"/>
      <c r="F846" s="287"/>
      <c r="G846" s="287"/>
      <c r="H846" s="287"/>
      <c r="I846" s="302"/>
      <c r="J846" s="303">
        <f t="shared" si="186"/>
        <v>0</v>
      </c>
      <c r="K846" s="294" t="s">
        <v>3555</v>
      </c>
      <c r="L846" s="44">
        <v>1</v>
      </c>
      <c r="M846" s="308" t="s">
        <v>2765</v>
      </c>
      <c r="N846" s="308"/>
      <c r="O846" s="308" t="s">
        <v>724</v>
      </c>
      <c r="P846" s="314" t="s">
        <v>3565</v>
      </c>
    </row>
    <row r="847" s="106" customFormat="1" ht="20.1" customHeight="1" spans="1:16">
      <c r="A847" s="279" t="s">
        <v>2766</v>
      </c>
      <c r="B847" s="41" t="s">
        <v>2767</v>
      </c>
      <c r="C847" s="287">
        <v>0</v>
      </c>
      <c r="D847" s="288">
        <f t="shared" si="188"/>
        <v>0</v>
      </c>
      <c r="E847" s="287"/>
      <c r="F847" s="287"/>
      <c r="G847" s="287"/>
      <c r="H847" s="287"/>
      <c r="I847" s="302"/>
      <c r="J847" s="303">
        <f t="shared" si="186"/>
        <v>0</v>
      </c>
      <c r="K847" s="294" t="s">
        <v>3555</v>
      </c>
      <c r="L847" s="44">
        <v>1</v>
      </c>
      <c r="M847" s="308" t="s">
        <v>2766</v>
      </c>
      <c r="N847" s="308"/>
      <c r="O847" s="308" t="s">
        <v>724</v>
      </c>
      <c r="P847" s="309" t="s">
        <v>4150</v>
      </c>
    </row>
    <row r="848" s="107" customFormat="1" ht="20.1" customHeight="1" spans="1:16">
      <c r="A848" s="283" t="s">
        <v>725</v>
      </c>
      <c r="B848" s="323" t="s">
        <v>2768</v>
      </c>
      <c r="C848" s="285">
        <f t="shared" ref="C848:I848" si="189">C849</f>
        <v>0</v>
      </c>
      <c r="D848" s="285">
        <f t="shared" si="188"/>
        <v>0</v>
      </c>
      <c r="E848" s="285">
        <f t="shared" si="189"/>
        <v>0</v>
      </c>
      <c r="F848" s="285">
        <f t="shared" si="189"/>
        <v>0</v>
      </c>
      <c r="G848" s="285">
        <f t="shared" si="189"/>
        <v>0</v>
      </c>
      <c r="H848" s="285">
        <f t="shared" si="189"/>
        <v>0</v>
      </c>
      <c r="I848" s="285">
        <f t="shared" si="189"/>
        <v>0</v>
      </c>
      <c r="J848" s="324">
        <f t="shared" si="186"/>
        <v>0</v>
      </c>
      <c r="K848" s="300" t="s">
        <v>3551</v>
      </c>
      <c r="L848" s="301">
        <v>1</v>
      </c>
      <c r="M848" s="312" t="s">
        <v>725</v>
      </c>
      <c r="N848" s="312" t="s">
        <v>710</v>
      </c>
      <c r="O848" s="312" t="s">
        <v>725</v>
      </c>
      <c r="P848" s="313" t="s">
        <v>4151</v>
      </c>
    </row>
    <row r="849" s="106" customFormat="1" ht="20.1" customHeight="1" spans="1:16">
      <c r="A849" s="279" t="s">
        <v>2769</v>
      </c>
      <c r="B849" s="289" t="s">
        <v>2770</v>
      </c>
      <c r="C849" s="287"/>
      <c r="D849" s="287">
        <f t="shared" si="188"/>
        <v>0</v>
      </c>
      <c r="E849" s="287"/>
      <c r="F849" s="287"/>
      <c r="G849" s="287"/>
      <c r="H849" s="287"/>
      <c r="I849" s="287"/>
      <c r="J849" s="236"/>
      <c r="K849" s="294" t="s">
        <v>3555</v>
      </c>
      <c r="L849" s="44">
        <v>1</v>
      </c>
      <c r="M849" s="308" t="s">
        <v>2769</v>
      </c>
      <c r="N849" s="308"/>
      <c r="O849" s="308" t="s">
        <v>725</v>
      </c>
      <c r="P849" s="309" t="s">
        <v>4151</v>
      </c>
    </row>
    <row r="850" s="107" customFormat="1" ht="20.1" customHeight="1" spans="1:16">
      <c r="A850" s="280" t="s">
        <v>726</v>
      </c>
      <c r="B850" s="281" t="s">
        <v>727</v>
      </c>
      <c r="C850" s="282">
        <f t="shared" ref="C850:I850" si="190">C851+C862+C864+C867+C869+C871</f>
        <v>4950</v>
      </c>
      <c r="D850" s="282">
        <f t="shared" si="188"/>
        <v>5576</v>
      </c>
      <c r="E850" s="282">
        <f t="shared" si="190"/>
        <v>911</v>
      </c>
      <c r="F850" s="282">
        <f t="shared" si="190"/>
        <v>0</v>
      </c>
      <c r="G850" s="282">
        <f t="shared" si="190"/>
        <v>1208</v>
      </c>
      <c r="H850" s="282">
        <f t="shared" si="190"/>
        <v>0</v>
      </c>
      <c r="I850" s="282">
        <f t="shared" si="190"/>
        <v>3457</v>
      </c>
      <c r="J850" s="296">
        <f t="shared" ref="J850:J862" si="191">ROUND(IF(C850=0,IF(D850=0,0,1),IF(D850=0,-1,D850/C850)),4)*100</f>
        <v>112.65</v>
      </c>
      <c r="K850" s="297" t="s">
        <v>3550</v>
      </c>
      <c r="L850" s="298"/>
      <c r="M850" s="310" t="s">
        <v>726</v>
      </c>
      <c r="N850" s="310" t="s">
        <v>726</v>
      </c>
      <c r="O850" s="310" t="s">
        <v>726</v>
      </c>
      <c r="P850" s="311" t="s">
        <v>4152</v>
      </c>
    </row>
    <row r="851" s="107" customFormat="1" ht="20.1" customHeight="1" spans="1:16">
      <c r="A851" s="283" t="s">
        <v>728</v>
      </c>
      <c r="B851" s="323" t="s">
        <v>2771</v>
      </c>
      <c r="C851" s="285">
        <f t="shared" ref="C851:I851" si="192">SUM(C852:C861)</f>
        <v>2373</v>
      </c>
      <c r="D851" s="285">
        <f t="shared" si="188"/>
        <v>2693</v>
      </c>
      <c r="E851" s="285">
        <f t="shared" si="192"/>
        <v>0</v>
      </c>
      <c r="F851" s="285">
        <f t="shared" si="192"/>
        <v>0</v>
      </c>
      <c r="G851" s="285">
        <f t="shared" si="192"/>
        <v>0</v>
      </c>
      <c r="H851" s="285">
        <f t="shared" si="192"/>
        <v>0</v>
      </c>
      <c r="I851" s="285">
        <f t="shared" si="192"/>
        <v>2693</v>
      </c>
      <c r="J851" s="324">
        <f t="shared" si="191"/>
        <v>113.49</v>
      </c>
      <c r="K851" s="300" t="s">
        <v>3551</v>
      </c>
      <c r="L851" s="301"/>
      <c r="M851" s="312" t="s">
        <v>728</v>
      </c>
      <c r="N851" s="312" t="s">
        <v>726</v>
      </c>
      <c r="O851" s="312" t="s">
        <v>728</v>
      </c>
      <c r="P851" s="313" t="s">
        <v>4153</v>
      </c>
    </row>
    <row r="852" s="106" customFormat="1" ht="20.1" customHeight="1" spans="1:16">
      <c r="A852" s="279" t="s">
        <v>2772</v>
      </c>
      <c r="B852" s="41" t="s">
        <v>1458</v>
      </c>
      <c r="C852" s="287">
        <v>395</v>
      </c>
      <c r="D852" s="288">
        <f t="shared" si="188"/>
        <v>379</v>
      </c>
      <c r="E852" s="287"/>
      <c r="F852" s="287"/>
      <c r="G852" s="287"/>
      <c r="H852" s="287"/>
      <c r="I852" s="302">
        <v>379</v>
      </c>
      <c r="J852" s="303">
        <f t="shared" si="191"/>
        <v>95.95</v>
      </c>
      <c r="K852" s="294" t="s">
        <v>3555</v>
      </c>
      <c r="L852" s="44">
        <v>1</v>
      </c>
      <c r="M852" s="308" t="s">
        <v>2772</v>
      </c>
      <c r="N852" s="308"/>
      <c r="O852" s="308" t="s">
        <v>728</v>
      </c>
      <c r="P852" s="314" t="s">
        <v>3556</v>
      </c>
    </row>
    <row r="853" s="106" customFormat="1" ht="20.1" customHeight="1" spans="1:16">
      <c r="A853" s="279" t="s">
        <v>2773</v>
      </c>
      <c r="B853" s="41" t="s">
        <v>1460</v>
      </c>
      <c r="C853" s="287"/>
      <c r="D853" s="288">
        <f t="shared" si="188"/>
        <v>0</v>
      </c>
      <c r="E853" s="287"/>
      <c r="F853" s="287"/>
      <c r="G853" s="287"/>
      <c r="H853" s="287"/>
      <c r="I853" s="302"/>
      <c r="J853" s="303">
        <f t="shared" si="191"/>
        <v>0</v>
      </c>
      <c r="K853" s="294" t="s">
        <v>3555</v>
      </c>
      <c r="L853" s="44">
        <v>1</v>
      </c>
      <c r="M853" s="308" t="s">
        <v>2773</v>
      </c>
      <c r="N853" s="308"/>
      <c r="O853" s="308" t="s">
        <v>728</v>
      </c>
      <c r="P853" s="314" t="s">
        <v>3557</v>
      </c>
    </row>
    <row r="854" s="106" customFormat="1" ht="20.1" customHeight="1" spans="1:16">
      <c r="A854" s="279" t="s">
        <v>2774</v>
      </c>
      <c r="B854" s="41" t="s">
        <v>1462</v>
      </c>
      <c r="C854" s="287"/>
      <c r="D854" s="288">
        <f t="shared" si="188"/>
        <v>0</v>
      </c>
      <c r="E854" s="287"/>
      <c r="F854" s="287"/>
      <c r="G854" s="287"/>
      <c r="H854" s="287"/>
      <c r="I854" s="302"/>
      <c r="J854" s="303">
        <f t="shared" si="191"/>
        <v>0</v>
      </c>
      <c r="K854" s="294" t="s">
        <v>3555</v>
      </c>
      <c r="L854" s="44">
        <v>1</v>
      </c>
      <c r="M854" s="308" t="s">
        <v>2774</v>
      </c>
      <c r="N854" s="308"/>
      <c r="O854" s="308" t="s">
        <v>728</v>
      </c>
      <c r="P854" s="314" t="s">
        <v>3558</v>
      </c>
    </row>
    <row r="855" s="106" customFormat="1" ht="20.1" customHeight="1" spans="1:16">
      <c r="A855" s="279" t="s">
        <v>2775</v>
      </c>
      <c r="B855" s="41" t="s">
        <v>2776</v>
      </c>
      <c r="C855" s="287">
        <v>757</v>
      </c>
      <c r="D855" s="288">
        <f t="shared" si="188"/>
        <v>956</v>
      </c>
      <c r="E855" s="287"/>
      <c r="F855" s="287"/>
      <c r="G855" s="287"/>
      <c r="H855" s="287"/>
      <c r="I855" s="302">
        <v>956</v>
      </c>
      <c r="J855" s="303">
        <f t="shared" si="191"/>
        <v>126.29</v>
      </c>
      <c r="K855" s="294" t="s">
        <v>3555</v>
      </c>
      <c r="L855" s="44">
        <v>1</v>
      </c>
      <c r="M855" s="308" t="s">
        <v>2775</v>
      </c>
      <c r="N855" s="308"/>
      <c r="O855" s="308" t="s">
        <v>728</v>
      </c>
      <c r="P855" s="309" t="s">
        <v>4154</v>
      </c>
    </row>
    <row r="856" s="106" customFormat="1" ht="20.1" customHeight="1" spans="1:16">
      <c r="A856" s="279" t="s">
        <v>2777</v>
      </c>
      <c r="B856" s="41" t="s">
        <v>2778</v>
      </c>
      <c r="C856" s="287"/>
      <c r="D856" s="288">
        <f t="shared" si="188"/>
        <v>0</v>
      </c>
      <c r="E856" s="287"/>
      <c r="F856" s="287"/>
      <c r="G856" s="287"/>
      <c r="H856" s="287"/>
      <c r="I856" s="302"/>
      <c r="J856" s="303">
        <f t="shared" si="191"/>
        <v>0</v>
      </c>
      <c r="K856" s="294" t="s">
        <v>3555</v>
      </c>
      <c r="L856" s="44">
        <v>1</v>
      </c>
      <c r="M856" s="308" t="s">
        <v>2777</v>
      </c>
      <c r="N856" s="308"/>
      <c r="O856" s="308" t="s">
        <v>728</v>
      </c>
      <c r="P856" s="309" t="s">
        <v>4155</v>
      </c>
    </row>
    <row r="857" s="106" customFormat="1" ht="20.1" customHeight="1" spans="1:16">
      <c r="A857" s="279" t="s">
        <v>2779</v>
      </c>
      <c r="B857" s="41" t="s">
        <v>2780</v>
      </c>
      <c r="C857" s="287"/>
      <c r="D857" s="288">
        <f t="shared" si="188"/>
        <v>0</v>
      </c>
      <c r="E857" s="287"/>
      <c r="F857" s="287"/>
      <c r="G857" s="287"/>
      <c r="H857" s="287"/>
      <c r="I857" s="302"/>
      <c r="J857" s="303">
        <f t="shared" si="191"/>
        <v>0</v>
      </c>
      <c r="K857" s="294" t="s">
        <v>3555</v>
      </c>
      <c r="L857" s="44">
        <v>1</v>
      </c>
      <c r="M857" s="308" t="s">
        <v>2779</v>
      </c>
      <c r="N857" s="308"/>
      <c r="O857" s="308" t="s">
        <v>728</v>
      </c>
      <c r="P857" s="309" t="s">
        <v>4156</v>
      </c>
    </row>
    <row r="858" s="106" customFormat="1" ht="20.1" customHeight="1" spans="1:16">
      <c r="A858" s="279" t="s">
        <v>2781</v>
      </c>
      <c r="B858" s="41" t="s">
        <v>2782</v>
      </c>
      <c r="C858" s="287"/>
      <c r="D858" s="288">
        <f t="shared" si="188"/>
        <v>0</v>
      </c>
      <c r="E858" s="287"/>
      <c r="F858" s="287"/>
      <c r="G858" s="287"/>
      <c r="H858" s="287"/>
      <c r="I858" s="302"/>
      <c r="J858" s="303">
        <f t="shared" si="191"/>
        <v>0</v>
      </c>
      <c r="K858" s="294" t="s">
        <v>3555</v>
      </c>
      <c r="L858" s="44">
        <v>1</v>
      </c>
      <c r="M858" s="308" t="s">
        <v>2781</v>
      </c>
      <c r="N858" s="308"/>
      <c r="O858" s="308" t="s">
        <v>728</v>
      </c>
      <c r="P858" s="309" t="s">
        <v>4157</v>
      </c>
    </row>
    <row r="859" s="106" customFormat="1" ht="20.1" customHeight="1" spans="1:16">
      <c r="A859" s="279" t="s">
        <v>2783</v>
      </c>
      <c r="B859" s="41" t="s">
        <v>2784</v>
      </c>
      <c r="C859" s="287"/>
      <c r="D859" s="288">
        <f t="shared" si="188"/>
        <v>0</v>
      </c>
      <c r="E859" s="287"/>
      <c r="F859" s="287"/>
      <c r="G859" s="287"/>
      <c r="H859" s="287"/>
      <c r="I859" s="302"/>
      <c r="J859" s="303">
        <f t="shared" si="191"/>
        <v>0</v>
      </c>
      <c r="K859" s="294" t="s">
        <v>3555</v>
      </c>
      <c r="L859" s="44">
        <v>1</v>
      </c>
      <c r="M859" s="308" t="s">
        <v>2783</v>
      </c>
      <c r="N859" s="308"/>
      <c r="O859" s="308" t="s">
        <v>728</v>
      </c>
      <c r="P859" s="309" t="s">
        <v>4158</v>
      </c>
    </row>
    <row r="860" s="106" customFormat="1" ht="20.1" customHeight="1" spans="1:16">
      <c r="A860" s="279" t="s">
        <v>2785</v>
      </c>
      <c r="B860" s="41" t="s">
        <v>2786</v>
      </c>
      <c r="C860" s="287"/>
      <c r="D860" s="288">
        <f t="shared" si="188"/>
        <v>0</v>
      </c>
      <c r="E860" s="287"/>
      <c r="F860" s="287"/>
      <c r="G860" s="287"/>
      <c r="H860" s="287"/>
      <c r="I860" s="302"/>
      <c r="J860" s="303">
        <f t="shared" si="191"/>
        <v>0</v>
      </c>
      <c r="K860" s="294" t="s">
        <v>3555</v>
      </c>
      <c r="L860" s="44">
        <v>1</v>
      </c>
      <c r="M860" s="308" t="s">
        <v>2785</v>
      </c>
      <c r="N860" s="308"/>
      <c r="O860" s="308" t="s">
        <v>728</v>
      </c>
      <c r="P860" s="309" t="s">
        <v>4159</v>
      </c>
    </row>
    <row r="861" s="106" customFormat="1" ht="20.1" customHeight="1" spans="1:16">
      <c r="A861" s="279" t="s">
        <v>2787</v>
      </c>
      <c r="B861" s="41" t="s">
        <v>2788</v>
      </c>
      <c r="C861" s="287">
        <v>1221</v>
      </c>
      <c r="D861" s="288">
        <f t="shared" si="188"/>
        <v>1358</v>
      </c>
      <c r="E861" s="287"/>
      <c r="F861" s="287"/>
      <c r="G861" s="287"/>
      <c r="H861" s="287"/>
      <c r="I861" s="302">
        <v>1358</v>
      </c>
      <c r="J861" s="303">
        <f t="shared" si="191"/>
        <v>111.22</v>
      </c>
      <c r="K861" s="294" t="s">
        <v>3555</v>
      </c>
      <c r="L861" s="44">
        <v>1</v>
      </c>
      <c r="M861" s="308" t="s">
        <v>2787</v>
      </c>
      <c r="N861" s="308"/>
      <c r="O861" s="308" t="s">
        <v>728</v>
      </c>
      <c r="P861" s="309" t="s">
        <v>4160</v>
      </c>
    </row>
    <row r="862" s="107" customFormat="1" ht="20.1" customHeight="1" spans="1:16">
      <c r="A862" s="283" t="s">
        <v>730</v>
      </c>
      <c r="B862" s="323" t="s">
        <v>2789</v>
      </c>
      <c r="C862" s="285">
        <f t="shared" ref="C862:I862" si="193">C863</f>
        <v>0</v>
      </c>
      <c r="D862" s="285">
        <f t="shared" si="188"/>
        <v>0</v>
      </c>
      <c r="E862" s="285">
        <f t="shared" si="193"/>
        <v>0</v>
      </c>
      <c r="F862" s="285">
        <f t="shared" si="193"/>
        <v>0</v>
      </c>
      <c r="G862" s="285">
        <f t="shared" si="193"/>
        <v>0</v>
      </c>
      <c r="H862" s="285">
        <f t="shared" si="193"/>
        <v>0</v>
      </c>
      <c r="I862" s="285">
        <f t="shared" si="193"/>
        <v>0</v>
      </c>
      <c r="J862" s="324">
        <f t="shared" si="191"/>
        <v>0</v>
      </c>
      <c r="K862" s="300" t="s">
        <v>3551</v>
      </c>
      <c r="L862" s="301"/>
      <c r="M862" s="312" t="s">
        <v>730</v>
      </c>
      <c r="N862" s="312" t="s">
        <v>726</v>
      </c>
      <c r="O862" s="312" t="s">
        <v>730</v>
      </c>
      <c r="P862" s="313" t="s">
        <v>4161</v>
      </c>
    </row>
    <row r="863" s="106" customFormat="1" ht="20.1" customHeight="1" spans="1:16">
      <c r="A863" s="279" t="s">
        <v>2790</v>
      </c>
      <c r="B863" s="289" t="s">
        <v>731</v>
      </c>
      <c r="C863" s="287"/>
      <c r="D863" s="287">
        <f t="shared" si="188"/>
        <v>0</v>
      </c>
      <c r="E863" s="287"/>
      <c r="F863" s="287"/>
      <c r="G863" s="287"/>
      <c r="H863" s="287"/>
      <c r="I863" s="287"/>
      <c r="J863" s="236"/>
      <c r="K863" s="294" t="s">
        <v>3555</v>
      </c>
      <c r="L863" s="44">
        <v>1</v>
      </c>
      <c r="M863" s="308" t="s">
        <v>2790</v>
      </c>
      <c r="N863" s="308"/>
      <c r="O863" s="308" t="s">
        <v>730</v>
      </c>
      <c r="P863" s="309" t="s">
        <v>4161</v>
      </c>
    </row>
    <row r="864" s="107" customFormat="1" ht="20.1" customHeight="1" spans="1:16">
      <c r="A864" s="283" t="s">
        <v>732</v>
      </c>
      <c r="B864" s="323" t="s">
        <v>2791</v>
      </c>
      <c r="C864" s="285">
        <f t="shared" ref="C864:I864" si="194">SUM(C865:C866)</f>
        <v>728</v>
      </c>
      <c r="D864" s="285">
        <f t="shared" si="188"/>
        <v>1919</v>
      </c>
      <c r="E864" s="285">
        <f t="shared" si="194"/>
        <v>911</v>
      </c>
      <c r="F864" s="285">
        <f t="shared" si="194"/>
        <v>0</v>
      </c>
      <c r="G864" s="285">
        <f t="shared" si="194"/>
        <v>933</v>
      </c>
      <c r="H864" s="285">
        <f t="shared" si="194"/>
        <v>0</v>
      </c>
      <c r="I864" s="285">
        <f t="shared" si="194"/>
        <v>75</v>
      </c>
      <c r="J864" s="324">
        <f t="shared" ref="J864:J867" si="195">ROUND(IF(C864=0,IF(D864=0,0,1),IF(D864=0,-1,D864/C864)),4)*100</f>
        <v>263.6</v>
      </c>
      <c r="K864" s="300" t="s">
        <v>3551</v>
      </c>
      <c r="L864" s="301"/>
      <c r="M864" s="312" t="s">
        <v>732</v>
      </c>
      <c r="N864" s="312" t="s">
        <v>726</v>
      </c>
      <c r="O864" s="312" t="s">
        <v>732</v>
      </c>
      <c r="P864" s="313" t="s">
        <v>4162</v>
      </c>
    </row>
    <row r="865" s="106" customFormat="1" ht="20.1" customHeight="1" spans="1:16">
      <c r="A865" s="279" t="s">
        <v>2792</v>
      </c>
      <c r="B865" s="41" t="s">
        <v>2793</v>
      </c>
      <c r="C865" s="287">
        <v>148</v>
      </c>
      <c r="D865" s="288">
        <f t="shared" si="188"/>
        <v>44</v>
      </c>
      <c r="E865" s="287"/>
      <c r="F865" s="287"/>
      <c r="G865" s="287">
        <v>44</v>
      </c>
      <c r="H865" s="287"/>
      <c r="I865" s="302"/>
      <c r="J865" s="303">
        <f t="shared" si="195"/>
        <v>29.73</v>
      </c>
      <c r="K865" s="294" t="s">
        <v>3555</v>
      </c>
      <c r="L865" s="44">
        <v>1</v>
      </c>
      <c r="M865" s="308" t="s">
        <v>2792</v>
      </c>
      <c r="N865" s="308"/>
      <c r="O865" s="308" t="s">
        <v>732</v>
      </c>
      <c r="P865" s="309" t="s">
        <v>4163</v>
      </c>
    </row>
    <row r="866" s="106" customFormat="1" ht="20.1" customHeight="1" spans="1:16">
      <c r="A866" s="279" t="s">
        <v>2794</v>
      </c>
      <c r="B866" s="41" t="s">
        <v>2795</v>
      </c>
      <c r="C866" s="287">
        <v>580</v>
      </c>
      <c r="D866" s="288">
        <f t="shared" si="188"/>
        <v>1875</v>
      </c>
      <c r="E866" s="287">
        <v>911</v>
      </c>
      <c r="F866" s="287"/>
      <c r="G866" s="287">
        <v>889</v>
      </c>
      <c r="H866" s="287"/>
      <c r="I866" s="302">
        <v>75</v>
      </c>
      <c r="J866" s="303">
        <f t="shared" si="195"/>
        <v>323.28</v>
      </c>
      <c r="K866" s="294" t="s">
        <v>3555</v>
      </c>
      <c r="L866" s="44">
        <v>1</v>
      </c>
      <c r="M866" s="308" t="s">
        <v>2794</v>
      </c>
      <c r="N866" s="308"/>
      <c r="O866" s="308" t="s">
        <v>732</v>
      </c>
      <c r="P866" s="309" t="s">
        <v>4164</v>
      </c>
    </row>
    <row r="867" s="107" customFormat="1" ht="20.1" customHeight="1" spans="1:16">
      <c r="A867" s="283" t="s">
        <v>734</v>
      </c>
      <c r="B867" s="323" t="s">
        <v>2796</v>
      </c>
      <c r="C867" s="285">
        <f t="shared" ref="C867:I867" si="196">SUM(C868)</f>
        <v>526</v>
      </c>
      <c r="D867" s="285">
        <f t="shared" si="188"/>
        <v>547</v>
      </c>
      <c r="E867" s="285">
        <f t="shared" si="196"/>
        <v>0</v>
      </c>
      <c r="F867" s="285">
        <f t="shared" si="196"/>
        <v>0</v>
      </c>
      <c r="G867" s="285">
        <f t="shared" si="196"/>
        <v>55</v>
      </c>
      <c r="H867" s="285">
        <f t="shared" si="196"/>
        <v>0</v>
      </c>
      <c r="I867" s="285">
        <f t="shared" si="196"/>
        <v>492</v>
      </c>
      <c r="J867" s="324">
        <f t="shared" si="195"/>
        <v>103.99</v>
      </c>
      <c r="K867" s="300" t="s">
        <v>3551</v>
      </c>
      <c r="L867" s="301"/>
      <c r="M867" s="312" t="s">
        <v>734</v>
      </c>
      <c r="N867" s="312" t="s">
        <v>726</v>
      </c>
      <c r="O867" s="312" t="s">
        <v>734</v>
      </c>
      <c r="P867" s="313" t="s">
        <v>4165</v>
      </c>
    </row>
    <row r="868" s="106" customFormat="1" ht="20.1" customHeight="1" spans="1:16">
      <c r="A868" s="279" t="s">
        <v>2797</v>
      </c>
      <c r="B868" s="41" t="s">
        <v>735</v>
      </c>
      <c r="C868" s="287">
        <v>526</v>
      </c>
      <c r="D868" s="288">
        <f t="shared" si="188"/>
        <v>547</v>
      </c>
      <c r="E868" s="287"/>
      <c r="F868" s="287"/>
      <c r="G868" s="287">
        <v>55</v>
      </c>
      <c r="H868" s="287"/>
      <c r="I868" s="302">
        <v>492</v>
      </c>
      <c r="J868" s="303"/>
      <c r="K868" s="294" t="s">
        <v>3555</v>
      </c>
      <c r="L868" s="44">
        <v>1</v>
      </c>
      <c r="M868" s="308" t="s">
        <v>2797</v>
      </c>
      <c r="N868" s="308"/>
      <c r="O868" s="308" t="s">
        <v>734</v>
      </c>
      <c r="P868" s="309" t="s">
        <v>4165</v>
      </c>
    </row>
    <row r="869" s="107" customFormat="1" ht="20.1" customHeight="1" spans="1:16">
      <c r="A869" s="283" t="s">
        <v>736</v>
      </c>
      <c r="B869" s="323" t="s">
        <v>2798</v>
      </c>
      <c r="C869" s="285">
        <f t="shared" ref="C869:I869" si="197">C870</f>
        <v>0</v>
      </c>
      <c r="D869" s="285">
        <f t="shared" si="188"/>
        <v>0</v>
      </c>
      <c r="E869" s="285">
        <f t="shared" si="197"/>
        <v>0</v>
      </c>
      <c r="F869" s="285">
        <f t="shared" si="197"/>
        <v>0</v>
      </c>
      <c r="G869" s="285">
        <f t="shared" si="197"/>
        <v>0</v>
      </c>
      <c r="H869" s="285">
        <f t="shared" si="197"/>
        <v>0</v>
      </c>
      <c r="I869" s="285">
        <f t="shared" si="197"/>
        <v>0</v>
      </c>
      <c r="J869" s="324">
        <f t="shared" ref="J869:J897" si="198">ROUND(IF(C869=0,IF(D869=0,0,1),IF(D869=0,-1,D869/C869)),4)*100</f>
        <v>0</v>
      </c>
      <c r="K869" s="300" t="s">
        <v>3551</v>
      </c>
      <c r="L869" s="301"/>
      <c r="M869" s="312" t="s">
        <v>736</v>
      </c>
      <c r="N869" s="312" t="s">
        <v>726</v>
      </c>
      <c r="O869" s="312" t="s">
        <v>736</v>
      </c>
      <c r="P869" s="313" t="s">
        <v>4166</v>
      </c>
    </row>
    <row r="870" s="106" customFormat="1" ht="20.1" customHeight="1" spans="1:16">
      <c r="A870" s="279" t="s">
        <v>2799</v>
      </c>
      <c r="B870" s="41" t="s">
        <v>737</v>
      </c>
      <c r="C870" s="287"/>
      <c r="D870" s="288">
        <f t="shared" si="188"/>
        <v>0</v>
      </c>
      <c r="E870" s="287"/>
      <c r="F870" s="287"/>
      <c r="G870" s="287"/>
      <c r="H870" s="287"/>
      <c r="I870" s="302"/>
      <c r="J870" s="303"/>
      <c r="K870" s="294" t="s">
        <v>3555</v>
      </c>
      <c r="L870" s="44">
        <v>1</v>
      </c>
      <c r="M870" s="308" t="s">
        <v>2799</v>
      </c>
      <c r="N870" s="308"/>
      <c r="O870" s="308" t="s">
        <v>736</v>
      </c>
      <c r="P870" s="309" t="s">
        <v>4166</v>
      </c>
    </row>
    <row r="871" s="107" customFormat="1" ht="20.1" customHeight="1" spans="1:16">
      <c r="A871" s="283" t="s">
        <v>738</v>
      </c>
      <c r="B871" s="323" t="s">
        <v>2800</v>
      </c>
      <c r="C871" s="285">
        <f t="shared" ref="C871:I871" si="199">SUM(C872)</f>
        <v>1323</v>
      </c>
      <c r="D871" s="285">
        <f t="shared" si="188"/>
        <v>417</v>
      </c>
      <c r="E871" s="285">
        <f t="shared" si="199"/>
        <v>0</v>
      </c>
      <c r="F871" s="285">
        <f t="shared" si="199"/>
        <v>0</v>
      </c>
      <c r="G871" s="285">
        <f t="shared" si="199"/>
        <v>220</v>
      </c>
      <c r="H871" s="285">
        <f t="shared" si="199"/>
        <v>0</v>
      </c>
      <c r="I871" s="285">
        <f t="shared" si="199"/>
        <v>197</v>
      </c>
      <c r="J871" s="324">
        <f t="shared" si="198"/>
        <v>31.52</v>
      </c>
      <c r="K871" s="300" t="s">
        <v>3551</v>
      </c>
      <c r="L871" s="301"/>
      <c r="M871" s="312" t="s">
        <v>738</v>
      </c>
      <c r="N871" s="312" t="s">
        <v>726</v>
      </c>
      <c r="O871" s="312" t="s">
        <v>738</v>
      </c>
      <c r="P871" s="313" t="s">
        <v>4167</v>
      </c>
    </row>
    <row r="872" s="106" customFormat="1" ht="20.1" customHeight="1" spans="1:16">
      <c r="A872" s="279" t="s">
        <v>2801</v>
      </c>
      <c r="B872" s="41" t="s">
        <v>739</v>
      </c>
      <c r="C872" s="287">
        <v>1323</v>
      </c>
      <c r="D872" s="288">
        <f t="shared" si="188"/>
        <v>417</v>
      </c>
      <c r="E872" s="287"/>
      <c r="F872" s="287"/>
      <c r="G872" s="287">
        <v>220</v>
      </c>
      <c r="H872" s="287"/>
      <c r="I872" s="302">
        <v>197</v>
      </c>
      <c r="J872" s="303"/>
      <c r="K872" s="294" t="s">
        <v>3555</v>
      </c>
      <c r="L872" s="44">
        <v>1</v>
      </c>
      <c r="M872" s="308" t="s">
        <v>2801</v>
      </c>
      <c r="N872" s="308"/>
      <c r="O872" s="308" t="s">
        <v>738</v>
      </c>
      <c r="P872" s="309" t="s">
        <v>4167</v>
      </c>
    </row>
    <row r="873" s="107" customFormat="1" ht="20.1" customHeight="1" spans="1:16">
      <c r="A873" s="280" t="s">
        <v>740</v>
      </c>
      <c r="B873" s="281" t="s">
        <v>741</v>
      </c>
      <c r="C873" s="282">
        <f t="shared" ref="C873:I873" si="200">C874+C900+C923+C951+C958+C964+C970+C973</f>
        <v>95785</v>
      </c>
      <c r="D873" s="282">
        <f t="shared" si="188"/>
        <v>62702</v>
      </c>
      <c r="E873" s="282">
        <f t="shared" si="200"/>
        <v>30559</v>
      </c>
      <c r="F873" s="282">
        <f t="shared" si="200"/>
        <v>2370</v>
      </c>
      <c r="G873" s="282">
        <f t="shared" si="200"/>
        <v>13603</v>
      </c>
      <c r="H873" s="282">
        <f t="shared" si="200"/>
        <v>1255</v>
      </c>
      <c r="I873" s="282">
        <f t="shared" si="200"/>
        <v>14915</v>
      </c>
      <c r="J873" s="296">
        <f t="shared" si="198"/>
        <v>65.46</v>
      </c>
      <c r="K873" s="297" t="s">
        <v>3550</v>
      </c>
      <c r="L873" s="298"/>
      <c r="M873" s="310" t="s">
        <v>740</v>
      </c>
      <c r="N873" s="310" t="s">
        <v>740</v>
      </c>
      <c r="O873" s="310" t="s">
        <v>740</v>
      </c>
      <c r="P873" s="311" t="s">
        <v>4168</v>
      </c>
    </row>
    <row r="874" s="107" customFormat="1" ht="20.1" customHeight="1" spans="1:16">
      <c r="A874" s="283" t="s">
        <v>742</v>
      </c>
      <c r="B874" s="323" t="s">
        <v>2802</v>
      </c>
      <c r="C874" s="285">
        <f t="shared" ref="C874:I874" si="201">SUM(C875:C899)</f>
        <v>13962</v>
      </c>
      <c r="D874" s="285">
        <f t="shared" si="188"/>
        <v>9186</v>
      </c>
      <c r="E874" s="285">
        <f t="shared" si="201"/>
        <v>3345</v>
      </c>
      <c r="F874" s="285">
        <f t="shared" si="201"/>
        <v>150</v>
      </c>
      <c r="G874" s="285">
        <f t="shared" si="201"/>
        <v>1307</v>
      </c>
      <c r="H874" s="285">
        <f t="shared" si="201"/>
        <v>0</v>
      </c>
      <c r="I874" s="285">
        <f t="shared" si="201"/>
        <v>4384</v>
      </c>
      <c r="J874" s="324">
        <f t="shared" si="198"/>
        <v>65.79</v>
      </c>
      <c r="K874" s="300" t="s">
        <v>3551</v>
      </c>
      <c r="L874" s="301"/>
      <c r="M874" s="312" t="s">
        <v>742</v>
      </c>
      <c r="N874" s="312" t="s">
        <v>740</v>
      </c>
      <c r="O874" s="312" t="s">
        <v>742</v>
      </c>
      <c r="P874" s="313" t="s">
        <v>4169</v>
      </c>
    </row>
    <row r="875" s="106" customFormat="1" ht="20.1" customHeight="1" spans="1:16">
      <c r="A875" s="279" t="s">
        <v>2803</v>
      </c>
      <c r="B875" s="41" t="s">
        <v>1458</v>
      </c>
      <c r="C875" s="287">
        <v>446</v>
      </c>
      <c r="D875" s="288">
        <f t="shared" si="188"/>
        <v>418</v>
      </c>
      <c r="E875" s="287"/>
      <c r="F875" s="287"/>
      <c r="G875" s="287"/>
      <c r="H875" s="287"/>
      <c r="I875" s="302">
        <v>418</v>
      </c>
      <c r="J875" s="303">
        <f t="shared" si="198"/>
        <v>93.72</v>
      </c>
      <c r="K875" s="294" t="s">
        <v>3555</v>
      </c>
      <c r="L875" s="44">
        <v>1</v>
      </c>
      <c r="M875" s="308" t="s">
        <v>2803</v>
      </c>
      <c r="N875" s="308"/>
      <c r="O875" s="308" t="s">
        <v>742</v>
      </c>
      <c r="P875" s="314" t="s">
        <v>3556</v>
      </c>
    </row>
    <row r="876" s="106" customFormat="1" ht="20.1" customHeight="1" spans="1:16">
      <c r="A876" s="279" t="s">
        <v>2804</v>
      </c>
      <c r="B876" s="41" t="s">
        <v>1460</v>
      </c>
      <c r="C876" s="287">
        <v>341</v>
      </c>
      <c r="D876" s="288">
        <f t="shared" si="188"/>
        <v>361</v>
      </c>
      <c r="E876" s="287"/>
      <c r="F876" s="287"/>
      <c r="G876" s="287"/>
      <c r="H876" s="287"/>
      <c r="I876" s="302">
        <v>361</v>
      </c>
      <c r="J876" s="303">
        <f t="shared" si="198"/>
        <v>105.87</v>
      </c>
      <c r="K876" s="294" t="s">
        <v>3555</v>
      </c>
      <c r="L876" s="44">
        <v>1</v>
      </c>
      <c r="M876" s="308" t="s">
        <v>2804</v>
      </c>
      <c r="N876" s="308"/>
      <c r="O876" s="308" t="s">
        <v>742</v>
      </c>
      <c r="P876" s="314" t="s">
        <v>3557</v>
      </c>
    </row>
    <row r="877" s="106" customFormat="1" ht="20.1" customHeight="1" spans="1:16">
      <c r="A877" s="279" t="s">
        <v>2805</v>
      </c>
      <c r="B877" s="41" t="s">
        <v>1462</v>
      </c>
      <c r="C877" s="287"/>
      <c r="D877" s="288">
        <f t="shared" si="188"/>
        <v>0</v>
      </c>
      <c r="E877" s="287"/>
      <c r="F877" s="287"/>
      <c r="G877" s="287"/>
      <c r="H877" s="287"/>
      <c r="I877" s="302"/>
      <c r="J877" s="303">
        <f t="shared" si="198"/>
        <v>0</v>
      </c>
      <c r="K877" s="294" t="s">
        <v>3555</v>
      </c>
      <c r="L877" s="44">
        <v>1</v>
      </c>
      <c r="M877" s="308" t="s">
        <v>2805</v>
      </c>
      <c r="N877" s="308"/>
      <c r="O877" s="308" t="s">
        <v>742</v>
      </c>
      <c r="P877" s="314" t="s">
        <v>3558</v>
      </c>
    </row>
    <row r="878" s="106" customFormat="1" ht="20.1" customHeight="1" spans="1:16">
      <c r="A878" s="279" t="s">
        <v>2806</v>
      </c>
      <c r="B878" s="41" t="s">
        <v>1476</v>
      </c>
      <c r="C878" s="287">
        <v>3313</v>
      </c>
      <c r="D878" s="288">
        <f t="shared" si="188"/>
        <v>3251</v>
      </c>
      <c r="E878" s="287"/>
      <c r="F878" s="287"/>
      <c r="G878" s="287"/>
      <c r="H878" s="287"/>
      <c r="I878" s="302">
        <v>3251</v>
      </c>
      <c r="J878" s="303">
        <f t="shared" si="198"/>
        <v>98.13</v>
      </c>
      <c r="K878" s="294" t="s">
        <v>3555</v>
      </c>
      <c r="L878" s="44">
        <v>1</v>
      </c>
      <c r="M878" s="308" t="s">
        <v>2806</v>
      </c>
      <c r="N878" s="308"/>
      <c r="O878" s="308" t="s">
        <v>742</v>
      </c>
      <c r="P878" s="314" t="s">
        <v>3565</v>
      </c>
    </row>
    <row r="879" s="106" customFormat="1" ht="20.1" customHeight="1" spans="1:16">
      <c r="A879" s="279" t="s">
        <v>2807</v>
      </c>
      <c r="B879" s="41" t="s">
        <v>2808</v>
      </c>
      <c r="C879" s="287"/>
      <c r="D879" s="288">
        <f t="shared" si="188"/>
        <v>0</v>
      </c>
      <c r="E879" s="287"/>
      <c r="F879" s="287"/>
      <c r="G879" s="287"/>
      <c r="H879" s="287"/>
      <c r="I879" s="302"/>
      <c r="J879" s="303">
        <f t="shared" si="198"/>
        <v>0</v>
      </c>
      <c r="K879" s="294" t="s">
        <v>3555</v>
      </c>
      <c r="L879" s="44">
        <v>1</v>
      </c>
      <c r="M879" s="308" t="s">
        <v>2807</v>
      </c>
      <c r="N879" s="308"/>
      <c r="O879" s="308" t="s">
        <v>742</v>
      </c>
      <c r="P879" s="309" t="s">
        <v>4170</v>
      </c>
    </row>
    <row r="880" s="106" customFormat="1" ht="20.1" customHeight="1" spans="1:16">
      <c r="A880" s="279" t="s">
        <v>2809</v>
      </c>
      <c r="B880" s="41" t="s">
        <v>2810</v>
      </c>
      <c r="C880" s="287">
        <v>110</v>
      </c>
      <c r="D880" s="288">
        <f t="shared" si="188"/>
        <v>303</v>
      </c>
      <c r="E880" s="287">
        <v>130</v>
      </c>
      <c r="F880" s="287"/>
      <c r="G880" s="287">
        <v>173</v>
      </c>
      <c r="H880" s="287"/>
      <c r="I880" s="302"/>
      <c r="J880" s="303">
        <f t="shared" si="198"/>
        <v>275.45</v>
      </c>
      <c r="K880" s="294" t="s">
        <v>3555</v>
      </c>
      <c r="L880" s="44">
        <v>1</v>
      </c>
      <c r="M880" s="308" t="s">
        <v>2809</v>
      </c>
      <c r="N880" s="308"/>
      <c r="O880" s="308" t="s">
        <v>742</v>
      </c>
      <c r="P880" s="309" t="s">
        <v>4171</v>
      </c>
    </row>
    <row r="881" s="106" customFormat="1" ht="20.1" customHeight="1" spans="1:16">
      <c r="A881" s="279" t="s">
        <v>2811</v>
      </c>
      <c r="B881" s="41" t="s">
        <v>2812</v>
      </c>
      <c r="C881" s="287">
        <v>171</v>
      </c>
      <c r="D881" s="288">
        <f t="shared" si="188"/>
        <v>170</v>
      </c>
      <c r="E881" s="287">
        <v>34</v>
      </c>
      <c r="F881" s="287">
        <v>34</v>
      </c>
      <c r="G881" s="287">
        <v>101</v>
      </c>
      <c r="H881" s="287"/>
      <c r="I881" s="302">
        <v>1</v>
      </c>
      <c r="J881" s="303">
        <f t="shared" si="198"/>
        <v>99.42</v>
      </c>
      <c r="K881" s="294" t="s">
        <v>3555</v>
      </c>
      <c r="L881" s="44">
        <v>1</v>
      </c>
      <c r="M881" s="308" t="s">
        <v>2811</v>
      </c>
      <c r="N881" s="308"/>
      <c r="O881" s="308" t="s">
        <v>742</v>
      </c>
      <c r="P881" s="309" t="s">
        <v>4172</v>
      </c>
    </row>
    <row r="882" s="106" customFormat="1" ht="20.1" customHeight="1" spans="1:16">
      <c r="A882" s="279" t="s">
        <v>2813</v>
      </c>
      <c r="B882" s="41" t="s">
        <v>2814</v>
      </c>
      <c r="C882" s="287">
        <v>15</v>
      </c>
      <c r="D882" s="288">
        <f t="shared" si="188"/>
        <v>39</v>
      </c>
      <c r="E882" s="287"/>
      <c r="F882" s="287">
        <v>24</v>
      </c>
      <c r="G882" s="287">
        <v>15</v>
      </c>
      <c r="H882" s="287"/>
      <c r="I882" s="302"/>
      <c r="J882" s="303">
        <f t="shared" si="198"/>
        <v>260</v>
      </c>
      <c r="K882" s="294" t="s">
        <v>3555</v>
      </c>
      <c r="L882" s="44">
        <v>1</v>
      </c>
      <c r="M882" s="308" t="s">
        <v>2813</v>
      </c>
      <c r="N882" s="308"/>
      <c r="O882" s="308" t="s">
        <v>742</v>
      </c>
      <c r="P882" s="309" t="s">
        <v>4173</v>
      </c>
    </row>
    <row r="883" s="106" customFormat="1" ht="20.1" customHeight="1" spans="1:16">
      <c r="A883" s="279" t="s">
        <v>2815</v>
      </c>
      <c r="B883" s="41" t="s">
        <v>2816</v>
      </c>
      <c r="C883" s="287"/>
      <c r="D883" s="288">
        <f t="shared" si="188"/>
        <v>0</v>
      </c>
      <c r="E883" s="287"/>
      <c r="F883" s="287"/>
      <c r="G883" s="287"/>
      <c r="H883" s="287"/>
      <c r="I883" s="302"/>
      <c r="J883" s="303">
        <f t="shared" si="198"/>
        <v>0</v>
      </c>
      <c r="K883" s="294" t="s">
        <v>3555</v>
      </c>
      <c r="L883" s="44">
        <v>1</v>
      </c>
      <c r="M883" s="308" t="s">
        <v>2815</v>
      </c>
      <c r="N883" s="308"/>
      <c r="O883" s="308" t="s">
        <v>742</v>
      </c>
      <c r="P883" s="309" t="s">
        <v>4174</v>
      </c>
    </row>
    <row r="884" s="106" customFormat="1" ht="20.1" customHeight="1" spans="1:16">
      <c r="A884" s="279" t="s">
        <v>2817</v>
      </c>
      <c r="B884" s="41" t="s">
        <v>2818</v>
      </c>
      <c r="C884" s="287"/>
      <c r="D884" s="288">
        <f t="shared" si="188"/>
        <v>3</v>
      </c>
      <c r="E884" s="287"/>
      <c r="F884" s="287">
        <v>2</v>
      </c>
      <c r="G884" s="287">
        <v>1</v>
      </c>
      <c r="H884" s="287"/>
      <c r="I884" s="302"/>
      <c r="J884" s="303">
        <f t="shared" si="198"/>
        <v>100</v>
      </c>
      <c r="K884" s="294" t="s">
        <v>3555</v>
      </c>
      <c r="L884" s="44">
        <v>1</v>
      </c>
      <c r="M884" s="308" t="s">
        <v>2817</v>
      </c>
      <c r="N884" s="308"/>
      <c r="O884" s="308" t="s">
        <v>742</v>
      </c>
      <c r="P884" s="309" t="s">
        <v>4175</v>
      </c>
    </row>
    <row r="885" s="106" customFormat="1" ht="20.1" customHeight="1" spans="1:16">
      <c r="A885" s="279" t="s">
        <v>2819</v>
      </c>
      <c r="B885" s="41" t="s">
        <v>2820</v>
      </c>
      <c r="C885" s="287"/>
      <c r="D885" s="288">
        <f t="shared" si="188"/>
        <v>0</v>
      </c>
      <c r="E885" s="287"/>
      <c r="F885" s="287"/>
      <c r="G885" s="287"/>
      <c r="H885" s="287"/>
      <c r="I885" s="302"/>
      <c r="J885" s="303">
        <f t="shared" si="198"/>
        <v>0</v>
      </c>
      <c r="K885" s="294" t="s">
        <v>3555</v>
      </c>
      <c r="L885" s="44">
        <v>1</v>
      </c>
      <c r="M885" s="308" t="s">
        <v>2819</v>
      </c>
      <c r="N885" s="308"/>
      <c r="O885" s="308" t="s">
        <v>742</v>
      </c>
      <c r="P885" s="309" t="s">
        <v>4176</v>
      </c>
    </row>
    <row r="886" s="106" customFormat="1" ht="20.1" customHeight="1" spans="1:16">
      <c r="A886" s="279" t="s">
        <v>2821</v>
      </c>
      <c r="B886" s="41" t="s">
        <v>2822</v>
      </c>
      <c r="C886" s="287"/>
      <c r="D886" s="288">
        <f t="shared" si="188"/>
        <v>0</v>
      </c>
      <c r="E886" s="287"/>
      <c r="F886" s="287"/>
      <c r="G886" s="287"/>
      <c r="H886" s="287"/>
      <c r="I886" s="302"/>
      <c r="J886" s="303">
        <f t="shared" si="198"/>
        <v>0</v>
      </c>
      <c r="K886" s="294" t="s">
        <v>3555</v>
      </c>
      <c r="L886" s="44">
        <v>1</v>
      </c>
      <c r="M886" s="308" t="s">
        <v>2821</v>
      </c>
      <c r="N886" s="308"/>
      <c r="O886" s="308" t="s">
        <v>742</v>
      </c>
      <c r="P886" s="309" t="s">
        <v>4177</v>
      </c>
    </row>
    <row r="887" s="106" customFormat="1" ht="20.1" customHeight="1" spans="1:16">
      <c r="A887" s="279" t="s">
        <v>2823</v>
      </c>
      <c r="B887" s="41" t="s">
        <v>2824</v>
      </c>
      <c r="C887" s="287">
        <v>30</v>
      </c>
      <c r="D887" s="288">
        <f t="shared" si="188"/>
        <v>26</v>
      </c>
      <c r="E887" s="287"/>
      <c r="F887" s="287"/>
      <c r="G887" s="287">
        <v>26</v>
      </c>
      <c r="H887" s="287"/>
      <c r="I887" s="302"/>
      <c r="J887" s="303">
        <f t="shared" si="198"/>
        <v>86.67</v>
      </c>
      <c r="K887" s="294" t="s">
        <v>3555</v>
      </c>
      <c r="L887" s="44">
        <v>1</v>
      </c>
      <c r="M887" s="308" t="s">
        <v>2823</v>
      </c>
      <c r="N887" s="308"/>
      <c r="O887" s="308" t="s">
        <v>742</v>
      </c>
      <c r="P887" s="309" t="s">
        <v>4178</v>
      </c>
    </row>
    <row r="888" s="106" customFormat="1" ht="20.1" customHeight="1" spans="1:16">
      <c r="A888" s="279" t="s">
        <v>2825</v>
      </c>
      <c r="B888" s="41" t="s">
        <v>2826</v>
      </c>
      <c r="C888" s="287">
        <v>1395</v>
      </c>
      <c r="D888" s="288">
        <f t="shared" si="188"/>
        <v>1411</v>
      </c>
      <c r="E888" s="287">
        <v>1411</v>
      </c>
      <c r="F888" s="287"/>
      <c r="G888" s="287"/>
      <c r="H888" s="287"/>
      <c r="I888" s="302"/>
      <c r="J888" s="303">
        <f t="shared" si="198"/>
        <v>101.15</v>
      </c>
      <c r="K888" s="294" t="s">
        <v>3555</v>
      </c>
      <c r="L888" s="44">
        <v>1</v>
      </c>
      <c r="M888" s="308" t="s">
        <v>2825</v>
      </c>
      <c r="N888" s="308"/>
      <c r="O888" s="308" t="s">
        <v>742</v>
      </c>
      <c r="P888" s="309" t="s">
        <v>4179</v>
      </c>
    </row>
    <row r="889" s="106" customFormat="1" ht="20.1" customHeight="1" spans="1:16">
      <c r="A889" s="279" t="s">
        <v>2827</v>
      </c>
      <c r="B889" s="41" t="s">
        <v>2828</v>
      </c>
      <c r="C889" s="287">
        <v>10</v>
      </c>
      <c r="D889" s="288">
        <f t="shared" si="188"/>
        <v>0</v>
      </c>
      <c r="E889" s="287"/>
      <c r="F889" s="287"/>
      <c r="G889" s="287"/>
      <c r="H889" s="287"/>
      <c r="I889" s="302"/>
      <c r="J889" s="303">
        <f t="shared" si="198"/>
        <v>-100</v>
      </c>
      <c r="K889" s="294" t="s">
        <v>3555</v>
      </c>
      <c r="L889" s="44">
        <v>1</v>
      </c>
      <c r="M889" s="308" t="s">
        <v>2827</v>
      </c>
      <c r="N889" s="308"/>
      <c r="O889" s="308" t="s">
        <v>742</v>
      </c>
      <c r="P889" s="309" t="s">
        <v>4180</v>
      </c>
    </row>
    <row r="890" s="106" customFormat="1" ht="20.1" customHeight="1" spans="1:16">
      <c r="A890" s="279" t="s">
        <v>2829</v>
      </c>
      <c r="B890" s="41" t="s">
        <v>2830</v>
      </c>
      <c r="C890" s="287">
        <v>1004</v>
      </c>
      <c r="D890" s="288">
        <f t="shared" si="188"/>
        <v>1245</v>
      </c>
      <c r="E890" s="287">
        <v>920</v>
      </c>
      <c r="F890" s="287">
        <v>50</v>
      </c>
      <c r="G890" s="287">
        <v>251</v>
      </c>
      <c r="H890" s="287"/>
      <c r="I890" s="302">
        <v>24</v>
      </c>
      <c r="J890" s="303">
        <f t="shared" si="198"/>
        <v>124</v>
      </c>
      <c r="K890" s="294" t="s">
        <v>3555</v>
      </c>
      <c r="L890" s="44">
        <v>1</v>
      </c>
      <c r="M890" s="308" t="s">
        <v>2829</v>
      </c>
      <c r="N890" s="308"/>
      <c r="O890" s="308" t="s">
        <v>742</v>
      </c>
      <c r="P890" s="340" t="s">
        <v>4181</v>
      </c>
    </row>
    <row r="891" s="106" customFormat="1" ht="20.1" customHeight="1" spans="1:16">
      <c r="A891" s="279" t="s">
        <v>2831</v>
      </c>
      <c r="B891" s="41" t="s">
        <v>2832</v>
      </c>
      <c r="C891" s="287">
        <v>11</v>
      </c>
      <c r="D891" s="288">
        <f t="shared" si="188"/>
        <v>181</v>
      </c>
      <c r="E891" s="287"/>
      <c r="F891" s="287"/>
      <c r="G891" s="287">
        <v>181</v>
      </c>
      <c r="H891" s="287"/>
      <c r="I891" s="302"/>
      <c r="J891" s="303">
        <f t="shared" si="198"/>
        <v>1645.45</v>
      </c>
      <c r="K891" s="294" t="s">
        <v>3555</v>
      </c>
      <c r="L891" s="44">
        <v>1</v>
      </c>
      <c r="M891" s="308" t="s">
        <v>2831</v>
      </c>
      <c r="N891" s="308"/>
      <c r="O891" s="308" t="s">
        <v>742</v>
      </c>
      <c r="P891" s="340" t="s">
        <v>4182</v>
      </c>
    </row>
    <row r="892" s="106" customFormat="1" ht="20.1" customHeight="1" spans="1:16">
      <c r="A892" s="279" t="s">
        <v>2833</v>
      </c>
      <c r="B892" s="41" t="s">
        <v>2834</v>
      </c>
      <c r="C892" s="287">
        <v>42</v>
      </c>
      <c r="D892" s="288">
        <f t="shared" si="188"/>
        <v>0</v>
      </c>
      <c r="E892" s="287"/>
      <c r="F892" s="287"/>
      <c r="G892" s="287"/>
      <c r="H892" s="287"/>
      <c r="I892" s="302"/>
      <c r="J892" s="303">
        <f t="shared" si="198"/>
        <v>-100</v>
      </c>
      <c r="K892" s="294" t="s">
        <v>3555</v>
      </c>
      <c r="L892" s="44">
        <v>1</v>
      </c>
      <c r="M892" s="308" t="s">
        <v>2833</v>
      </c>
      <c r="N892" s="308"/>
      <c r="O892" s="308" t="s">
        <v>742</v>
      </c>
      <c r="P892" s="309" t="s">
        <v>4183</v>
      </c>
    </row>
    <row r="893" s="106" customFormat="1" ht="20.1" customHeight="1" spans="1:16">
      <c r="A893" s="279" t="s">
        <v>2835</v>
      </c>
      <c r="B893" s="41" t="s">
        <v>2836</v>
      </c>
      <c r="C893" s="287">
        <v>414</v>
      </c>
      <c r="D893" s="288">
        <f t="shared" si="188"/>
        <v>307</v>
      </c>
      <c r="E893" s="287"/>
      <c r="F893" s="287"/>
      <c r="G893" s="287">
        <v>2</v>
      </c>
      <c r="H893" s="287"/>
      <c r="I893" s="302">
        <v>305</v>
      </c>
      <c r="J893" s="303">
        <f t="shared" si="198"/>
        <v>74.15</v>
      </c>
      <c r="K893" s="294" t="s">
        <v>3555</v>
      </c>
      <c r="L893" s="44">
        <v>1</v>
      </c>
      <c r="M893" s="308" t="s">
        <v>2835</v>
      </c>
      <c r="N893" s="308"/>
      <c r="O893" s="308" t="s">
        <v>742</v>
      </c>
      <c r="P893" s="309" t="s">
        <v>4184</v>
      </c>
    </row>
    <row r="894" s="106" customFormat="1" ht="20.1" customHeight="1" spans="1:16">
      <c r="A894" s="279" t="s">
        <v>2837</v>
      </c>
      <c r="B894" s="41" t="s">
        <v>2838</v>
      </c>
      <c r="C894" s="287">
        <v>118</v>
      </c>
      <c r="D894" s="288">
        <f t="shared" si="188"/>
        <v>56</v>
      </c>
      <c r="E894" s="287"/>
      <c r="F894" s="287">
        <v>40</v>
      </c>
      <c r="G894" s="287">
        <v>16</v>
      </c>
      <c r="H894" s="287"/>
      <c r="I894" s="302"/>
      <c r="J894" s="303">
        <f t="shared" si="198"/>
        <v>47.46</v>
      </c>
      <c r="K894" s="294" t="s">
        <v>3555</v>
      </c>
      <c r="L894" s="44">
        <v>1</v>
      </c>
      <c r="M894" s="308" t="s">
        <v>2837</v>
      </c>
      <c r="N894" s="308"/>
      <c r="O894" s="308" t="s">
        <v>742</v>
      </c>
      <c r="P894" s="340" t="s">
        <v>4185</v>
      </c>
    </row>
    <row r="895" s="106" customFormat="1" ht="20.1" customHeight="1" spans="1:16">
      <c r="A895" s="279" t="s">
        <v>2839</v>
      </c>
      <c r="B895" s="41" t="s">
        <v>2840</v>
      </c>
      <c r="C895" s="287"/>
      <c r="D895" s="288">
        <f t="shared" si="188"/>
        <v>0</v>
      </c>
      <c r="E895" s="287"/>
      <c r="F895" s="287"/>
      <c r="G895" s="287"/>
      <c r="H895" s="287"/>
      <c r="I895" s="302"/>
      <c r="J895" s="303">
        <f t="shared" si="198"/>
        <v>0</v>
      </c>
      <c r="K895" s="294" t="s">
        <v>3555</v>
      </c>
      <c r="L895" s="44">
        <v>1</v>
      </c>
      <c r="M895" s="308" t="s">
        <v>2839</v>
      </c>
      <c r="N895" s="308"/>
      <c r="O895" s="308" t="s">
        <v>742</v>
      </c>
      <c r="P895" s="309" t="s">
        <v>4186</v>
      </c>
    </row>
    <row r="896" s="106" customFormat="1" ht="20.1" customHeight="1" spans="1:16">
      <c r="A896" s="279" t="s">
        <v>2841</v>
      </c>
      <c r="B896" s="41" t="s">
        <v>2842</v>
      </c>
      <c r="C896" s="287">
        <v>86</v>
      </c>
      <c r="D896" s="288">
        <f t="shared" si="188"/>
        <v>150</v>
      </c>
      <c r="E896" s="287"/>
      <c r="F896" s="287"/>
      <c r="G896" s="287">
        <v>150</v>
      </c>
      <c r="H896" s="287"/>
      <c r="I896" s="302"/>
      <c r="J896" s="303">
        <f t="shared" si="198"/>
        <v>174.42</v>
      </c>
      <c r="K896" s="294" t="s">
        <v>3555</v>
      </c>
      <c r="L896" s="44">
        <v>1</v>
      </c>
      <c r="M896" s="308" t="s">
        <v>2841</v>
      </c>
      <c r="N896" s="308"/>
      <c r="O896" s="308" t="s">
        <v>742</v>
      </c>
      <c r="P896" s="340" t="s">
        <v>4187</v>
      </c>
    </row>
    <row r="897" s="106" customFormat="1" ht="20.1" customHeight="1" spans="1:16">
      <c r="A897" s="279" t="s">
        <v>2843</v>
      </c>
      <c r="B897" s="41" t="s">
        <v>2844</v>
      </c>
      <c r="C897" s="287"/>
      <c r="D897" s="288">
        <f t="shared" si="188"/>
        <v>0</v>
      </c>
      <c r="E897" s="287"/>
      <c r="F897" s="287"/>
      <c r="G897" s="287"/>
      <c r="H897" s="287"/>
      <c r="I897" s="302"/>
      <c r="J897" s="303">
        <f t="shared" si="198"/>
        <v>0</v>
      </c>
      <c r="K897" s="294" t="s">
        <v>3555</v>
      </c>
      <c r="L897" s="44">
        <v>1</v>
      </c>
      <c r="M897" s="308" t="s">
        <v>2843</v>
      </c>
      <c r="N897" s="308"/>
      <c r="O897" s="308" t="s">
        <v>742</v>
      </c>
      <c r="P897" s="309" t="s">
        <v>4188</v>
      </c>
    </row>
    <row r="898" s="106" customFormat="1" ht="20.1" customHeight="1" spans="1:16">
      <c r="A898" s="335" t="s">
        <v>2845</v>
      </c>
      <c r="B898" s="665" t="s">
        <v>2846</v>
      </c>
      <c r="C898" s="287">
        <v>1317</v>
      </c>
      <c r="D898" s="288">
        <f t="shared" si="188"/>
        <v>850</v>
      </c>
      <c r="E898" s="287">
        <v>850</v>
      </c>
      <c r="F898" s="287"/>
      <c r="G898" s="287"/>
      <c r="H898" s="287"/>
      <c r="I898" s="302"/>
      <c r="J898" s="303"/>
      <c r="K898" s="294" t="s">
        <v>3555</v>
      </c>
      <c r="L898" s="44">
        <v>1</v>
      </c>
      <c r="M898" s="308" t="s">
        <v>2845</v>
      </c>
      <c r="N898" s="308"/>
      <c r="O898" s="308" t="s">
        <v>742</v>
      </c>
      <c r="P898" s="347" t="s">
        <v>4189</v>
      </c>
    </row>
    <row r="899" s="106" customFormat="1" ht="20.1" customHeight="1" spans="1:16">
      <c r="A899" s="279" t="s">
        <v>2847</v>
      </c>
      <c r="B899" s="41" t="s">
        <v>2848</v>
      </c>
      <c r="C899" s="287">
        <v>5139</v>
      </c>
      <c r="D899" s="288">
        <f t="shared" si="188"/>
        <v>415</v>
      </c>
      <c r="E899" s="287"/>
      <c r="F899" s="287"/>
      <c r="G899" s="287">
        <v>391</v>
      </c>
      <c r="H899" s="287"/>
      <c r="I899" s="302">
        <v>24</v>
      </c>
      <c r="J899" s="303">
        <f t="shared" ref="J899:J920" si="202">ROUND(IF(C899=0,IF(D899=0,0,1),IF(D899=0,-1,D899/C899)),4)*100</f>
        <v>8.08</v>
      </c>
      <c r="K899" s="294" t="s">
        <v>3555</v>
      </c>
      <c r="L899" s="44">
        <v>1</v>
      </c>
      <c r="M899" s="308" t="s">
        <v>2847</v>
      </c>
      <c r="N899" s="308"/>
      <c r="O899" s="308" t="s">
        <v>742</v>
      </c>
      <c r="P899" s="309" t="s">
        <v>4190</v>
      </c>
    </row>
    <row r="900" s="107" customFormat="1" ht="20.1" customHeight="1" spans="1:16">
      <c r="A900" s="283" t="s">
        <v>744</v>
      </c>
      <c r="B900" s="323" t="s">
        <v>2849</v>
      </c>
      <c r="C900" s="285">
        <f t="shared" ref="C900:I900" si="203">SUM(C901:C922)</f>
        <v>9419</v>
      </c>
      <c r="D900" s="285">
        <f t="shared" si="188"/>
        <v>6925</v>
      </c>
      <c r="E900" s="285">
        <f t="shared" si="203"/>
        <v>5</v>
      </c>
      <c r="F900" s="285">
        <f t="shared" si="203"/>
        <v>788</v>
      </c>
      <c r="G900" s="285">
        <f t="shared" si="203"/>
        <v>3891</v>
      </c>
      <c r="H900" s="285">
        <f t="shared" si="203"/>
        <v>0</v>
      </c>
      <c r="I900" s="285">
        <f t="shared" si="203"/>
        <v>2241</v>
      </c>
      <c r="J900" s="324">
        <f t="shared" si="202"/>
        <v>73.52</v>
      </c>
      <c r="K900" s="300" t="s">
        <v>3551</v>
      </c>
      <c r="L900" s="301"/>
      <c r="M900" s="312" t="s">
        <v>744</v>
      </c>
      <c r="N900" s="312" t="s">
        <v>740</v>
      </c>
      <c r="O900" s="312" t="s">
        <v>744</v>
      </c>
      <c r="P900" s="313" t="s">
        <v>4191</v>
      </c>
    </row>
    <row r="901" s="106" customFormat="1" ht="20.1" customHeight="1" spans="1:16">
      <c r="A901" s="279" t="s">
        <v>2850</v>
      </c>
      <c r="B901" s="41" t="s">
        <v>1458</v>
      </c>
      <c r="C901" s="287">
        <v>66</v>
      </c>
      <c r="D901" s="288">
        <f t="shared" si="188"/>
        <v>41</v>
      </c>
      <c r="E901" s="287"/>
      <c r="F901" s="287"/>
      <c r="G901" s="287"/>
      <c r="H901" s="287"/>
      <c r="I901" s="302">
        <v>41</v>
      </c>
      <c r="J901" s="303">
        <f t="shared" si="202"/>
        <v>62.12</v>
      </c>
      <c r="K901" s="294" t="s">
        <v>3555</v>
      </c>
      <c r="L901" s="44">
        <v>1</v>
      </c>
      <c r="M901" s="308" t="s">
        <v>2850</v>
      </c>
      <c r="N901" s="308"/>
      <c r="O901" s="308" t="s">
        <v>744</v>
      </c>
      <c r="P901" s="314" t="s">
        <v>3556</v>
      </c>
    </row>
    <row r="902" s="106" customFormat="1" ht="20.1" customHeight="1" spans="1:16">
      <c r="A902" s="279" t="s">
        <v>2851</v>
      </c>
      <c r="B902" s="41" t="s">
        <v>1460</v>
      </c>
      <c r="C902" s="287"/>
      <c r="D902" s="288">
        <f t="shared" ref="D902:D965" si="204">SUM(E902:I902)</f>
        <v>0</v>
      </c>
      <c r="E902" s="287"/>
      <c r="F902" s="287"/>
      <c r="G902" s="287"/>
      <c r="H902" s="287"/>
      <c r="I902" s="302"/>
      <c r="J902" s="303">
        <f t="shared" si="202"/>
        <v>0</v>
      </c>
      <c r="K902" s="294" t="s">
        <v>3555</v>
      </c>
      <c r="L902" s="44">
        <v>1</v>
      </c>
      <c r="M902" s="308" t="s">
        <v>2851</v>
      </c>
      <c r="N902" s="308"/>
      <c r="O902" s="308" t="s">
        <v>744</v>
      </c>
      <c r="P902" s="314" t="s">
        <v>3557</v>
      </c>
    </row>
    <row r="903" s="106" customFormat="1" ht="20.1" customHeight="1" spans="1:16">
      <c r="A903" s="279" t="s">
        <v>2852</v>
      </c>
      <c r="B903" s="41" t="s">
        <v>1462</v>
      </c>
      <c r="C903" s="287"/>
      <c r="D903" s="288">
        <f t="shared" si="204"/>
        <v>0</v>
      </c>
      <c r="E903" s="287"/>
      <c r="F903" s="287"/>
      <c r="G903" s="287"/>
      <c r="H903" s="287"/>
      <c r="I903" s="302"/>
      <c r="J903" s="303">
        <f t="shared" si="202"/>
        <v>0</v>
      </c>
      <c r="K903" s="294" t="s">
        <v>3555</v>
      </c>
      <c r="L903" s="44">
        <v>1</v>
      </c>
      <c r="M903" s="308" t="s">
        <v>2852</v>
      </c>
      <c r="N903" s="308"/>
      <c r="O903" s="308" t="s">
        <v>744</v>
      </c>
      <c r="P903" s="314" t="s">
        <v>3558</v>
      </c>
    </row>
    <row r="904" s="106" customFormat="1" ht="20.1" customHeight="1" spans="1:16">
      <c r="A904" s="279" t="s">
        <v>2853</v>
      </c>
      <c r="B904" s="41" t="s">
        <v>2854</v>
      </c>
      <c r="C904" s="287">
        <v>2097</v>
      </c>
      <c r="D904" s="288">
        <f t="shared" si="204"/>
        <v>2200</v>
      </c>
      <c r="E904" s="287"/>
      <c r="F904" s="287"/>
      <c r="G904" s="287"/>
      <c r="H904" s="287"/>
      <c r="I904" s="302">
        <v>2200</v>
      </c>
      <c r="J904" s="303">
        <f t="shared" si="202"/>
        <v>104.91</v>
      </c>
      <c r="K904" s="294" t="s">
        <v>3555</v>
      </c>
      <c r="L904" s="44">
        <v>1</v>
      </c>
      <c r="M904" s="308" t="s">
        <v>2853</v>
      </c>
      <c r="N904" s="308"/>
      <c r="O904" s="308" t="s">
        <v>744</v>
      </c>
      <c r="P904" s="314" t="s">
        <v>4192</v>
      </c>
    </row>
    <row r="905" s="106" customFormat="1" ht="20.1" customHeight="1" spans="1:16">
      <c r="A905" s="279" t="s">
        <v>2855</v>
      </c>
      <c r="B905" s="41" t="s">
        <v>2856</v>
      </c>
      <c r="C905" s="287">
        <v>6054</v>
      </c>
      <c r="D905" s="288">
        <f t="shared" si="204"/>
        <v>2805</v>
      </c>
      <c r="E905" s="287">
        <v>5</v>
      </c>
      <c r="F905" s="287"/>
      <c r="G905" s="287">
        <v>2800</v>
      </c>
      <c r="H905" s="287"/>
      <c r="I905" s="302"/>
      <c r="J905" s="303">
        <f t="shared" si="202"/>
        <v>46.33</v>
      </c>
      <c r="K905" s="294" t="s">
        <v>3555</v>
      </c>
      <c r="L905" s="44">
        <v>1</v>
      </c>
      <c r="M905" s="308" t="s">
        <v>2855</v>
      </c>
      <c r="N905" s="308"/>
      <c r="O905" s="308" t="s">
        <v>744</v>
      </c>
      <c r="P905" s="314" t="s">
        <v>4193</v>
      </c>
    </row>
    <row r="906" s="106" customFormat="1" ht="20.1" customHeight="1" spans="1:16">
      <c r="A906" s="279" t="s">
        <v>2857</v>
      </c>
      <c r="B906" s="41" t="s">
        <v>2858</v>
      </c>
      <c r="C906" s="287">
        <v>4</v>
      </c>
      <c r="D906" s="288">
        <f t="shared" si="204"/>
        <v>0</v>
      </c>
      <c r="E906" s="287"/>
      <c r="F906" s="287"/>
      <c r="G906" s="287"/>
      <c r="H906" s="287"/>
      <c r="I906" s="302"/>
      <c r="J906" s="303">
        <f t="shared" si="202"/>
        <v>-100</v>
      </c>
      <c r="K906" s="294" t="s">
        <v>3555</v>
      </c>
      <c r="L906" s="44">
        <v>1</v>
      </c>
      <c r="M906" s="308" t="s">
        <v>2857</v>
      </c>
      <c r="N906" s="308"/>
      <c r="O906" s="308" t="s">
        <v>744</v>
      </c>
      <c r="P906" s="314" t="s">
        <v>4194</v>
      </c>
    </row>
    <row r="907" s="106" customFormat="1" ht="20.1" customHeight="1" spans="1:16">
      <c r="A907" s="279" t="s">
        <v>2859</v>
      </c>
      <c r="B907" s="41" t="s">
        <v>2860</v>
      </c>
      <c r="C907" s="287"/>
      <c r="D907" s="288">
        <f t="shared" si="204"/>
        <v>0</v>
      </c>
      <c r="E907" s="287"/>
      <c r="F907" s="287"/>
      <c r="G907" s="287"/>
      <c r="H907" s="287"/>
      <c r="I907" s="302"/>
      <c r="J907" s="303">
        <f t="shared" si="202"/>
        <v>0</v>
      </c>
      <c r="K907" s="294" t="s">
        <v>3555</v>
      </c>
      <c r="L907" s="44">
        <v>1</v>
      </c>
      <c r="M907" s="308" t="s">
        <v>2859</v>
      </c>
      <c r="N907" s="308"/>
      <c r="O907" s="308" t="s">
        <v>744</v>
      </c>
      <c r="P907" s="309" t="s">
        <v>4195</v>
      </c>
    </row>
    <row r="908" s="106" customFormat="1" ht="20.1" customHeight="1" spans="1:16">
      <c r="A908" s="279" t="s">
        <v>2861</v>
      </c>
      <c r="B908" s="41" t="s">
        <v>2862</v>
      </c>
      <c r="C908" s="287">
        <v>42</v>
      </c>
      <c r="D908" s="288">
        <f t="shared" si="204"/>
        <v>29</v>
      </c>
      <c r="E908" s="287"/>
      <c r="F908" s="287">
        <v>27</v>
      </c>
      <c r="G908" s="287">
        <v>2</v>
      </c>
      <c r="H908" s="287"/>
      <c r="I908" s="302"/>
      <c r="J908" s="303">
        <f t="shared" si="202"/>
        <v>69.05</v>
      </c>
      <c r="K908" s="294" t="s">
        <v>3555</v>
      </c>
      <c r="L908" s="44">
        <v>1</v>
      </c>
      <c r="M908" s="308" t="s">
        <v>2861</v>
      </c>
      <c r="N908" s="308"/>
      <c r="O908" s="308" t="s">
        <v>744</v>
      </c>
      <c r="P908" s="309" t="s">
        <v>4196</v>
      </c>
    </row>
    <row r="909" s="106" customFormat="1" ht="20.1" customHeight="1" spans="1:16">
      <c r="A909" s="279" t="s">
        <v>2863</v>
      </c>
      <c r="B909" s="41" t="s">
        <v>2864</v>
      </c>
      <c r="C909" s="287">
        <v>2</v>
      </c>
      <c r="D909" s="288">
        <f t="shared" si="204"/>
        <v>0</v>
      </c>
      <c r="E909" s="287"/>
      <c r="F909" s="287"/>
      <c r="G909" s="287"/>
      <c r="H909" s="287"/>
      <c r="I909" s="302"/>
      <c r="J909" s="303">
        <f t="shared" si="202"/>
        <v>-100</v>
      </c>
      <c r="K909" s="294" t="s">
        <v>3555</v>
      </c>
      <c r="L909" s="44">
        <v>1</v>
      </c>
      <c r="M909" s="308" t="s">
        <v>2863</v>
      </c>
      <c r="N909" s="308"/>
      <c r="O909" s="308" t="s">
        <v>744</v>
      </c>
      <c r="P909" s="309" t="s">
        <v>4197</v>
      </c>
    </row>
    <row r="910" s="106" customFormat="1" ht="20.1" customHeight="1" spans="1:16">
      <c r="A910" s="279" t="s">
        <v>2865</v>
      </c>
      <c r="B910" s="41" t="s">
        <v>2866</v>
      </c>
      <c r="C910" s="287"/>
      <c r="D910" s="288">
        <f t="shared" si="204"/>
        <v>0</v>
      </c>
      <c r="E910" s="287"/>
      <c r="F910" s="287"/>
      <c r="G910" s="287"/>
      <c r="H910" s="287"/>
      <c r="I910" s="302"/>
      <c r="J910" s="303">
        <f t="shared" si="202"/>
        <v>0</v>
      </c>
      <c r="K910" s="294" t="s">
        <v>3555</v>
      </c>
      <c r="L910" s="44">
        <v>1</v>
      </c>
      <c r="M910" s="308" t="s">
        <v>2865</v>
      </c>
      <c r="N910" s="308"/>
      <c r="O910" s="308" t="s">
        <v>744</v>
      </c>
      <c r="P910" s="309" t="s">
        <v>4198</v>
      </c>
    </row>
    <row r="911" s="106" customFormat="1" ht="20.1" customHeight="1" spans="1:16">
      <c r="A911" s="279" t="s">
        <v>2867</v>
      </c>
      <c r="B911" s="41" t="s">
        <v>2868</v>
      </c>
      <c r="C911" s="287"/>
      <c r="D911" s="288">
        <f t="shared" si="204"/>
        <v>0</v>
      </c>
      <c r="E911" s="287"/>
      <c r="F911" s="287"/>
      <c r="G911" s="287"/>
      <c r="H911" s="287"/>
      <c r="I911" s="302"/>
      <c r="J911" s="303">
        <f t="shared" si="202"/>
        <v>0</v>
      </c>
      <c r="K911" s="294" t="s">
        <v>3555</v>
      </c>
      <c r="L911" s="44">
        <v>1</v>
      </c>
      <c r="M911" s="308" t="s">
        <v>2867</v>
      </c>
      <c r="N911" s="308"/>
      <c r="O911" s="308" t="s">
        <v>744</v>
      </c>
      <c r="P911" s="314" t="s">
        <v>4199</v>
      </c>
    </row>
    <row r="912" s="106" customFormat="1" ht="20.1" customHeight="1" spans="1:16">
      <c r="A912" s="279" t="s">
        <v>2869</v>
      </c>
      <c r="B912" s="41" t="s">
        <v>2870</v>
      </c>
      <c r="C912" s="287"/>
      <c r="D912" s="288">
        <f t="shared" si="204"/>
        <v>0</v>
      </c>
      <c r="E912" s="287"/>
      <c r="F912" s="287"/>
      <c r="G912" s="287"/>
      <c r="H912" s="287"/>
      <c r="I912" s="302"/>
      <c r="J912" s="303">
        <f t="shared" si="202"/>
        <v>0</v>
      </c>
      <c r="K912" s="294" t="s">
        <v>3555</v>
      </c>
      <c r="L912" s="44">
        <v>1</v>
      </c>
      <c r="M912" s="308" t="s">
        <v>2869</v>
      </c>
      <c r="N912" s="308"/>
      <c r="O912" s="308" t="s">
        <v>744</v>
      </c>
      <c r="P912" s="309" t="s">
        <v>4200</v>
      </c>
    </row>
    <row r="913" s="106" customFormat="1" ht="20.1" customHeight="1" spans="1:16">
      <c r="A913" s="279" t="s">
        <v>2871</v>
      </c>
      <c r="B913" s="41" t="s">
        <v>2872</v>
      </c>
      <c r="C913" s="287"/>
      <c r="D913" s="288">
        <f t="shared" si="204"/>
        <v>0</v>
      </c>
      <c r="E913" s="287"/>
      <c r="F913" s="287"/>
      <c r="G913" s="287"/>
      <c r="H913" s="287"/>
      <c r="I913" s="302"/>
      <c r="J913" s="303">
        <f t="shared" si="202"/>
        <v>0</v>
      </c>
      <c r="K913" s="294" t="s">
        <v>3555</v>
      </c>
      <c r="L913" s="44">
        <v>1</v>
      </c>
      <c r="M913" s="308" t="s">
        <v>2871</v>
      </c>
      <c r="N913" s="308"/>
      <c r="O913" s="308" t="s">
        <v>744</v>
      </c>
      <c r="P913" s="314" t="s">
        <v>3701</v>
      </c>
    </row>
    <row r="914" s="106" customFormat="1" ht="20.1" customHeight="1" spans="1:16">
      <c r="A914" s="279" t="s">
        <v>2873</v>
      </c>
      <c r="B914" s="41" t="s">
        <v>2874</v>
      </c>
      <c r="C914" s="287"/>
      <c r="D914" s="288">
        <f t="shared" si="204"/>
        <v>0</v>
      </c>
      <c r="E914" s="287"/>
      <c r="F914" s="287"/>
      <c r="G914" s="287"/>
      <c r="H914" s="287"/>
      <c r="I914" s="302"/>
      <c r="J914" s="303">
        <f t="shared" si="202"/>
        <v>0</v>
      </c>
      <c r="K914" s="294" t="s">
        <v>3555</v>
      </c>
      <c r="L914" s="44">
        <v>1</v>
      </c>
      <c r="M914" s="308" t="s">
        <v>2873</v>
      </c>
      <c r="N914" s="308"/>
      <c r="O914" s="308" t="s">
        <v>744</v>
      </c>
      <c r="P914" s="314" t="s">
        <v>4201</v>
      </c>
    </row>
    <row r="915" s="106" customFormat="1" ht="20.1" customHeight="1" spans="1:16">
      <c r="A915" s="279" t="s">
        <v>2875</v>
      </c>
      <c r="B915" s="41" t="s">
        <v>2876</v>
      </c>
      <c r="C915" s="287"/>
      <c r="D915" s="288">
        <f t="shared" si="204"/>
        <v>0</v>
      </c>
      <c r="E915" s="287"/>
      <c r="F915" s="287"/>
      <c r="G915" s="287"/>
      <c r="H915" s="287"/>
      <c r="I915" s="302"/>
      <c r="J915" s="303">
        <f t="shared" si="202"/>
        <v>0</v>
      </c>
      <c r="K915" s="294" t="s">
        <v>3555</v>
      </c>
      <c r="L915" s="44">
        <v>1</v>
      </c>
      <c r="M915" s="308" t="s">
        <v>2875</v>
      </c>
      <c r="N915" s="308"/>
      <c r="O915" s="308" t="s">
        <v>744</v>
      </c>
      <c r="P915" s="314" t="s">
        <v>4202</v>
      </c>
    </row>
    <row r="916" s="106" customFormat="1" ht="20.1" customHeight="1" spans="1:16">
      <c r="A916" s="279" t="s">
        <v>2877</v>
      </c>
      <c r="B916" s="41" t="s">
        <v>2878</v>
      </c>
      <c r="C916" s="287"/>
      <c r="D916" s="288">
        <f t="shared" si="204"/>
        <v>0</v>
      </c>
      <c r="E916" s="287"/>
      <c r="F916" s="287"/>
      <c r="G916" s="287"/>
      <c r="H916" s="287"/>
      <c r="I916" s="302"/>
      <c r="J916" s="303">
        <f t="shared" si="202"/>
        <v>0</v>
      </c>
      <c r="K916" s="294" t="s">
        <v>3555</v>
      </c>
      <c r="L916" s="44">
        <v>1</v>
      </c>
      <c r="M916" s="308" t="s">
        <v>2877</v>
      </c>
      <c r="N916" s="308"/>
      <c r="O916" s="308" t="s">
        <v>744</v>
      </c>
      <c r="P916" s="314" t="s">
        <v>4203</v>
      </c>
    </row>
    <row r="917" s="106" customFormat="1" ht="20.1" customHeight="1" spans="1:16">
      <c r="A917" s="279" t="s">
        <v>2879</v>
      </c>
      <c r="B917" s="41" t="s">
        <v>2880</v>
      </c>
      <c r="C917" s="287"/>
      <c r="D917" s="288">
        <f t="shared" si="204"/>
        <v>0</v>
      </c>
      <c r="E917" s="287"/>
      <c r="F917" s="287"/>
      <c r="G917" s="287"/>
      <c r="H917" s="287"/>
      <c r="I917" s="302"/>
      <c r="J917" s="303">
        <f t="shared" si="202"/>
        <v>0</v>
      </c>
      <c r="K917" s="294" t="s">
        <v>3555</v>
      </c>
      <c r="L917" s="44">
        <v>1</v>
      </c>
      <c r="M917" s="308" t="s">
        <v>2879</v>
      </c>
      <c r="N917" s="308"/>
      <c r="O917" s="308" t="s">
        <v>744</v>
      </c>
      <c r="P917" s="314" t="s">
        <v>4204</v>
      </c>
    </row>
    <row r="918" s="106" customFormat="1" ht="20.1" customHeight="1" spans="1:16">
      <c r="A918" s="279" t="s">
        <v>2881</v>
      </c>
      <c r="B918" s="41" t="s">
        <v>2882</v>
      </c>
      <c r="C918" s="287">
        <v>155</v>
      </c>
      <c r="D918" s="288">
        <f t="shared" si="204"/>
        <v>60</v>
      </c>
      <c r="E918" s="287"/>
      <c r="F918" s="287">
        <v>50</v>
      </c>
      <c r="G918" s="287">
        <v>10</v>
      </c>
      <c r="H918" s="287"/>
      <c r="I918" s="302"/>
      <c r="J918" s="303">
        <f t="shared" si="202"/>
        <v>38.71</v>
      </c>
      <c r="K918" s="294" t="s">
        <v>3555</v>
      </c>
      <c r="L918" s="44">
        <v>1</v>
      </c>
      <c r="M918" s="308" t="s">
        <v>2881</v>
      </c>
      <c r="N918" s="308"/>
      <c r="O918" s="308" t="s">
        <v>744</v>
      </c>
      <c r="P918" s="314" t="s">
        <v>4205</v>
      </c>
    </row>
    <row r="919" s="106" customFormat="1" ht="20.1" customHeight="1" spans="1:16">
      <c r="A919" s="279" t="s">
        <v>2883</v>
      </c>
      <c r="B919" s="41" t="s">
        <v>2884</v>
      </c>
      <c r="C919" s="287"/>
      <c r="D919" s="288">
        <f t="shared" si="204"/>
        <v>0</v>
      </c>
      <c r="E919" s="287"/>
      <c r="F919" s="287"/>
      <c r="G919" s="287"/>
      <c r="H919" s="287"/>
      <c r="I919" s="302"/>
      <c r="J919" s="303">
        <f t="shared" si="202"/>
        <v>0</v>
      </c>
      <c r="K919" s="294" t="s">
        <v>3555</v>
      </c>
      <c r="L919" s="44">
        <v>1</v>
      </c>
      <c r="M919" s="308" t="s">
        <v>2883</v>
      </c>
      <c r="N919" s="308"/>
      <c r="O919" s="308" t="s">
        <v>744</v>
      </c>
      <c r="P919" s="314" t="s">
        <v>4206</v>
      </c>
    </row>
    <row r="920" s="106" customFormat="1" ht="20.1" customHeight="1" spans="1:16">
      <c r="A920" s="279" t="s">
        <v>2885</v>
      </c>
      <c r="B920" s="41" t="s">
        <v>2886</v>
      </c>
      <c r="C920" s="287"/>
      <c r="D920" s="288">
        <f t="shared" si="204"/>
        <v>0</v>
      </c>
      <c r="E920" s="287"/>
      <c r="F920" s="287"/>
      <c r="G920" s="287"/>
      <c r="H920" s="287"/>
      <c r="I920" s="302"/>
      <c r="J920" s="303">
        <f t="shared" si="202"/>
        <v>0</v>
      </c>
      <c r="K920" s="294" t="s">
        <v>3555</v>
      </c>
      <c r="L920" s="44">
        <v>1</v>
      </c>
      <c r="M920" s="308" t="s">
        <v>2885</v>
      </c>
      <c r="N920" s="308"/>
      <c r="O920" s="308" t="s">
        <v>744</v>
      </c>
      <c r="P920" s="314" t="s">
        <v>4207</v>
      </c>
    </row>
    <row r="921" s="106" customFormat="1" ht="20.1" customHeight="1" spans="1:16">
      <c r="A921" s="279" t="s">
        <v>2887</v>
      </c>
      <c r="B921" s="41" t="s">
        <v>2888</v>
      </c>
      <c r="C921" s="287"/>
      <c r="D921" s="288">
        <f t="shared" si="204"/>
        <v>0</v>
      </c>
      <c r="E921" s="287"/>
      <c r="F921" s="287"/>
      <c r="G921" s="287"/>
      <c r="H921" s="287"/>
      <c r="I921" s="302"/>
      <c r="J921" s="303"/>
      <c r="K921" s="294" t="s">
        <v>3555</v>
      </c>
      <c r="L921" s="44">
        <v>1</v>
      </c>
      <c r="M921" s="308" t="s">
        <v>2887</v>
      </c>
      <c r="N921" s="308"/>
      <c r="O921" s="308" t="s">
        <v>744</v>
      </c>
      <c r="P921" s="340" t="s">
        <v>4208</v>
      </c>
    </row>
    <row r="922" s="106" customFormat="1" ht="20.1" customHeight="1" spans="1:16">
      <c r="A922" s="279" t="s">
        <v>2889</v>
      </c>
      <c r="B922" s="41" t="s">
        <v>2890</v>
      </c>
      <c r="C922" s="287">
        <v>999</v>
      </c>
      <c r="D922" s="288">
        <f t="shared" si="204"/>
        <v>1790</v>
      </c>
      <c r="E922" s="287"/>
      <c r="F922" s="287">
        <v>711</v>
      </c>
      <c r="G922" s="287">
        <v>1079</v>
      </c>
      <c r="H922" s="287"/>
      <c r="I922" s="302"/>
      <c r="J922" s="303">
        <f t="shared" ref="J922:J947" si="205">ROUND(IF(C922=0,IF(D922=0,0,1),IF(D922=0,-1,D922/C922)),4)*100</f>
        <v>179.18</v>
      </c>
      <c r="K922" s="294" t="s">
        <v>3555</v>
      </c>
      <c r="L922" s="44">
        <v>1</v>
      </c>
      <c r="M922" s="308" t="s">
        <v>2889</v>
      </c>
      <c r="N922" s="308"/>
      <c r="O922" s="308" t="s">
        <v>744</v>
      </c>
      <c r="P922" s="314" t="s">
        <v>4209</v>
      </c>
    </row>
    <row r="923" s="107" customFormat="1" ht="20.1" customHeight="1" spans="1:16">
      <c r="A923" s="283" t="s">
        <v>746</v>
      </c>
      <c r="B923" s="323" t="s">
        <v>2891</v>
      </c>
      <c r="C923" s="285">
        <f t="shared" ref="C923:I923" si="206">SUM(C924:C950)</f>
        <v>3322</v>
      </c>
      <c r="D923" s="285">
        <f t="shared" si="204"/>
        <v>3458</v>
      </c>
      <c r="E923" s="285">
        <f t="shared" si="206"/>
        <v>286</v>
      </c>
      <c r="F923" s="285">
        <f t="shared" si="206"/>
        <v>71</v>
      </c>
      <c r="G923" s="285">
        <f t="shared" si="206"/>
        <v>2543</v>
      </c>
      <c r="H923" s="285">
        <f t="shared" si="206"/>
        <v>0</v>
      </c>
      <c r="I923" s="285">
        <f t="shared" si="206"/>
        <v>558</v>
      </c>
      <c r="J923" s="324">
        <f t="shared" si="205"/>
        <v>104.09</v>
      </c>
      <c r="K923" s="300" t="s">
        <v>3551</v>
      </c>
      <c r="L923" s="301"/>
      <c r="M923" s="312" t="s">
        <v>746</v>
      </c>
      <c r="N923" s="312" t="s">
        <v>740</v>
      </c>
      <c r="O923" s="312" t="s">
        <v>746</v>
      </c>
      <c r="P923" s="313" t="s">
        <v>4210</v>
      </c>
    </row>
    <row r="924" s="106" customFormat="1" ht="20.1" customHeight="1" spans="1:16">
      <c r="A924" s="279" t="s">
        <v>2892</v>
      </c>
      <c r="B924" s="41" t="s">
        <v>1458</v>
      </c>
      <c r="C924" s="287">
        <v>127</v>
      </c>
      <c r="D924" s="288">
        <f t="shared" si="204"/>
        <v>91</v>
      </c>
      <c r="E924" s="287"/>
      <c r="F924" s="287"/>
      <c r="G924" s="287"/>
      <c r="H924" s="287"/>
      <c r="I924" s="302">
        <v>91</v>
      </c>
      <c r="J924" s="303">
        <f t="shared" si="205"/>
        <v>71.65</v>
      </c>
      <c r="K924" s="294" t="s">
        <v>3555</v>
      </c>
      <c r="L924" s="44">
        <v>1</v>
      </c>
      <c r="M924" s="308" t="s">
        <v>2892</v>
      </c>
      <c r="N924" s="308"/>
      <c r="O924" s="308" t="s">
        <v>746</v>
      </c>
      <c r="P924" s="314" t="s">
        <v>3556</v>
      </c>
    </row>
    <row r="925" s="106" customFormat="1" ht="20.1" customHeight="1" spans="1:16">
      <c r="A925" s="279" t="s">
        <v>2893</v>
      </c>
      <c r="B925" s="41" t="s">
        <v>1460</v>
      </c>
      <c r="C925" s="287">
        <v>359</v>
      </c>
      <c r="D925" s="288">
        <f t="shared" si="204"/>
        <v>326</v>
      </c>
      <c r="E925" s="287"/>
      <c r="F925" s="287"/>
      <c r="G925" s="287"/>
      <c r="H925" s="287"/>
      <c r="I925" s="302">
        <v>326</v>
      </c>
      <c r="J925" s="303">
        <f t="shared" si="205"/>
        <v>90.81</v>
      </c>
      <c r="K925" s="294" t="s">
        <v>3555</v>
      </c>
      <c r="L925" s="44">
        <v>1</v>
      </c>
      <c r="M925" s="308" t="s">
        <v>2893</v>
      </c>
      <c r="N925" s="308"/>
      <c r="O925" s="308" t="s">
        <v>746</v>
      </c>
      <c r="P925" s="314" t="s">
        <v>3557</v>
      </c>
    </row>
    <row r="926" s="106" customFormat="1" ht="20.1" customHeight="1" spans="1:16">
      <c r="A926" s="279" t="s">
        <v>2894</v>
      </c>
      <c r="B926" s="41" t="s">
        <v>1462</v>
      </c>
      <c r="C926" s="287"/>
      <c r="D926" s="288">
        <f t="shared" si="204"/>
        <v>0</v>
      </c>
      <c r="E926" s="287"/>
      <c r="F926" s="287"/>
      <c r="G926" s="287"/>
      <c r="H926" s="287"/>
      <c r="I926" s="302"/>
      <c r="J926" s="303">
        <f t="shared" si="205"/>
        <v>0</v>
      </c>
      <c r="K926" s="294" t="s">
        <v>3555</v>
      </c>
      <c r="L926" s="44">
        <v>1</v>
      </c>
      <c r="M926" s="308" t="s">
        <v>2894</v>
      </c>
      <c r="N926" s="308"/>
      <c r="O926" s="308" t="s">
        <v>746</v>
      </c>
      <c r="P926" s="314" t="s">
        <v>3558</v>
      </c>
    </row>
    <row r="927" s="106" customFormat="1" ht="20.1" customHeight="1" spans="1:16">
      <c r="A927" s="279" t="s">
        <v>2895</v>
      </c>
      <c r="B927" s="41" t="s">
        <v>2896</v>
      </c>
      <c r="C927" s="287">
        <v>90</v>
      </c>
      <c r="D927" s="288">
        <f t="shared" si="204"/>
        <v>101</v>
      </c>
      <c r="E927" s="287"/>
      <c r="F927" s="287"/>
      <c r="G927" s="287"/>
      <c r="H927" s="287"/>
      <c r="I927" s="302">
        <v>101</v>
      </c>
      <c r="J927" s="303">
        <f t="shared" si="205"/>
        <v>112.22</v>
      </c>
      <c r="K927" s="294" t="s">
        <v>3555</v>
      </c>
      <c r="L927" s="44">
        <v>1</v>
      </c>
      <c r="M927" s="308" t="s">
        <v>2895</v>
      </c>
      <c r="N927" s="308"/>
      <c r="O927" s="308" t="s">
        <v>746</v>
      </c>
      <c r="P927" s="309" t="s">
        <v>4211</v>
      </c>
    </row>
    <row r="928" s="106" customFormat="1" ht="20.1" customHeight="1" spans="1:16">
      <c r="A928" s="279" t="s">
        <v>2897</v>
      </c>
      <c r="B928" s="41" t="s">
        <v>2898</v>
      </c>
      <c r="C928" s="287">
        <v>658</v>
      </c>
      <c r="D928" s="288">
        <f t="shared" si="204"/>
        <v>29</v>
      </c>
      <c r="E928" s="287"/>
      <c r="F928" s="287"/>
      <c r="G928" s="287">
        <v>29</v>
      </c>
      <c r="H928" s="287"/>
      <c r="I928" s="302"/>
      <c r="J928" s="303">
        <f t="shared" si="205"/>
        <v>4.41</v>
      </c>
      <c r="K928" s="294" t="s">
        <v>3555</v>
      </c>
      <c r="L928" s="44">
        <v>1</v>
      </c>
      <c r="M928" s="308" t="s">
        <v>2897</v>
      </c>
      <c r="N928" s="308"/>
      <c r="O928" s="308" t="s">
        <v>746</v>
      </c>
      <c r="P928" s="314" t="s">
        <v>4212</v>
      </c>
    </row>
    <row r="929" s="106" customFormat="1" ht="20.1" customHeight="1" spans="1:16">
      <c r="A929" s="279" t="s">
        <v>2899</v>
      </c>
      <c r="B929" s="41" t="s">
        <v>2900</v>
      </c>
      <c r="C929" s="287">
        <v>974</v>
      </c>
      <c r="D929" s="288">
        <f t="shared" si="204"/>
        <v>1213</v>
      </c>
      <c r="E929" s="287">
        <v>237</v>
      </c>
      <c r="F929" s="287"/>
      <c r="G929" s="287">
        <v>976</v>
      </c>
      <c r="H929" s="287"/>
      <c r="I929" s="302"/>
      <c r="J929" s="303">
        <f t="shared" si="205"/>
        <v>124.54</v>
      </c>
      <c r="K929" s="294" t="s">
        <v>3555</v>
      </c>
      <c r="L929" s="44">
        <v>1</v>
      </c>
      <c r="M929" s="308" t="s">
        <v>2899</v>
      </c>
      <c r="N929" s="308"/>
      <c r="O929" s="308" t="s">
        <v>746</v>
      </c>
      <c r="P929" s="309" t="s">
        <v>4213</v>
      </c>
    </row>
    <row r="930" s="106" customFormat="1" ht="20.1" customHeight="1" spans="1:16">
      <c r="A930" s="279" t="s">
        <v>2901</v>
      </c>
      <c r="B930" s="41" t="s">
        <v>2902</v>
      </c>
      <c r="C930" s="287"/>
      <c r="D930" s="288">
        <f t="shared" si="204"/>
        <v>0</v>
      </c>
      <c r="E930" s="287"/>
      <c r="F930" s="287"/>
      <c r="G930" s="287"/>
      <c r="H930" s="287"/>
      <c r="I930" s="302"/>
      <c r="J930" s="303">
        <f t="shared" si="205"/>
        <v>0</v>
      </c>
      <c r="K930" s="294" t="s">
        <v>3555</v>
      </c>
      <c r="L930" s="44">
        <v>1</v>
      </c>
      <c r="M930" s="308" t="s">
        <v>2901</v>
      </c>
      <c r="N930" s="308"/>
      <c r="O930" s="308" t="s">
        <v>746</v>
      </c>
      <c r="P930" s="309" t="s">
        <v>4214</v>
      </c>
    </row>
    <row r="931" s="106" customFormat="1" ht="20.1" customHeight="1" spans="1:16">
      <c r="A931" s="279" t="s">
        <v>2903</v>
      </c>
      <c r="B931" s="41" t="s">
        <v>2904</v>
      </c>
      <c r="C931" s="287"/>
      <c r="D931" s="288">
        <f t="shared" si="204"/>
        <v>46</v>
      </c>
      <c r="E931" s="287"/>
      <c r="F931" s="287"/>
      <c r="G931" s="287">
        <v>46</v>
      </c>
      <c r="H931" s="287"/>
      <c r="I931" s="302"/>
      <c r="J931" s="303">
        <f t="shared" si="205"/>
        <v>100</v>
      </c>
      <c r="K931" s="294" t="s">
        <v>3555</v>
      </c>
      <c r="L931" s="44">
        <v>1</v>
      </c>
      <c r="M931" s="308" t="s">
        <v>2903</v>
      </c>
      <c r="N931" s="308"/>
      <c r="O931" s="308" t="s">
        <v>746</v>
      </c>
      <c r="P931" s="309" t="s">
        <v>4215</v>
      </c>
    </row>
    <row r="932" s="106" customFormat="1" ht="20.1" customHeight="1" spans="1:16">
      <c r="A932" s="279" t="s">
        <v>2905</v>
      </c>
      <c r="B932" s="41" t="s">
        <v>2906</v>
      </c>
      <c r="C932" s="287"/>
      <c r="D932" s="288">
        <f t="shared" si="204"/>
        <v>0</v>
      </c>
      <c r="E932" s="287"/>
      <c r="F932" s="287"/>
      <c r="G932" s="287"/>
      <c r="H932" s="287"/>
      <c r="I932" s="302"/>
      <c r="J932" s="303">
        <f t="shared" si="205"/>
        <v>0</v>
      </c>
      <c r="K932" s="294" t="s">
        <v>3555</v>
      </c>
      <c r="L932" s="44">
        <v>1</v>
      </c>
      <c r="M932" s="308" t="s">
        <v>2905</v>
      </c>
      <c r="N932" s="308"/>
      <c r="O932" s="308" t="s">
        <v>746</v>
      </c>
      <c r="P932" s="309" t="s">
        <v>4216</v>
      </c>
    </row>
    <row r="933" s="106" customFormat="1" ht="20.1" customHeight="1" spans="1:16">
      <c r="A933" s="279" t="s">
        <v>2907</v>
      </c>
      <c r="B933" s="41" t="s">
        <v>2908</v>
      </c>
      <c r="C933" s="287">
        <v>294</v>
      </c>
      <c r="D933" s="288">
        <f t="shared" si="204"/>
        <v>206</v>
      </c>
      <c r="E933" s="287"/>
      <c r="F933" s="287"/>
      <c r="G933" s="287">
        <v>206</v>
      </c>
      <c r="H933" s="287"/>
      <c r="I933" s="302"/>
      <c r="J933" s="303">
        <f t="shared" si="205"/>
        <v>70.07</v>
      </c>
      <c r="K933" s="294" t="s">
        <v>3555</v>
      </c>
      <c r="L933" s="44">
        <v>1</v>
      </c>
      <c r="M933" s="308" t="s">
        <v>2907</v>
      </c>
      <c r="N933" s="308"/>
      <c r="O933" s="308" t="s">
        <v>746</v>
      </c>
      <c r="P933" s="314" t="s">
        <v>4217</v>
      </c>
    </row>
    <row r="934" s="106" customFormat="1" ht="20.1" customHeight="1" spans="1:16">
      <c r="A934" s="279" t="s">
        <v>2909</v>
      </c>
      <c r="B934" s="41" t="s">
        <v>2910</v>
      </c>
      <c r="C934" s="287">
        <v>6</v>
      </c>
      <c r="D934" s="288">
        <f t="shared" si="204"/>
        <v>200</v>
      </c>
      <c r="E934" s="287"/>
      <c r="F934" s="287"/>
      <c r="G934" s="287">
        <v>200</v>
      </c>
      <c r="H934" s="287"/>
      <c r="I934" s="302"/>
      <c r="J934" s="303">
        <f t="shared" si="205"/>
        <v>3333.33</v>
      </c>
      <c r="K934" s="294" t="s">
        <v>3555</v>
      </c>
      <c r="L934" s="44">
        <v>1</v>
      </c>
      <c r="M934" s="308" t="s">
        <v>2909</v>
      </c>
      <c r="N934" s="308"/>
      <c r="O934" s="308" t="s">
        <v>746</v>
      </c>
      <c r="P934" s="309" t="s">
        <v>4218</v>
      </c>
    </row>
    <row r="935" s="106" customFormat="1" ht="20.1" customHeight="1" spans="1:16">
      <c r="A935" s="279" t="s">
        <v>2911</v>
      </c>
      <c r="B935" s="41" t="s">
        <v>2912</v>
      </c>
      <c r="C935" s="287"/>
      <c r="D935" s="288">
        <f t="shared" si="204"/>
        <v>0</v>
      </c>
      <c r="E935" s="287"/>
      <c r="F935" s="287"/>
      <c r="G935" s="287"/>
      <c r="H935" s="287"/>
      <c r="I935" s="302"/>
      <c r="J935" s="303">
        <f t="shared" si="205"/>
        <v>0</v>
      </c>
      <c r="K935" s="294" t="s">
        <v>3555</v>
      </c>
      <c r="L935" s="44">
        <v>1</v>
      </c>
      <c r="M935" s="308" t="s">
        <v>2911</v>
      </c>
      <c r="N935" s="308"/>
      <c r="O935" s="308" t="s">
        <v>746</v>
      </c>
      <c r="P935" s="309" t="s">
        <v>4219</v>
      </c>
    </row>
    <row r="936" s="106" customFormat="1" ht="20.1" customHeight="1" spans="1:16">
      <c r="A936" s="279" t="s">
        <v>2913</v>
      </c>
      <c r="B936" s="41" t="s">
        <v>2914</v>
      </c>
      <c r="C936" s="287"/>
      <c r="D936" s="288">
        <f t="shared" si="204"/>
        <v>0</v>
      </c>
      <c r="E936" s="287"/>
      <c r="F936" s="287"/>
      <c r="G936" s="287"/>
      <c r="H936" s="287"/>
      <c r="I936" s="302"/>
      <c r="J936" s="303">
        <f t="shared" si="205"/>
        <v>0</v>
      </c>
      <c r="K936" s="294" t="s">
        <v>3555</v>
      </c>
      <c r="L936" s="44">
        <v>1</v>
      </c>
      <c r="M936" s="308" t="s">
        <v>2913</v>
      </c>
      <c r="N936" s="308"/>
      <c r="O936" s="308" t="s">
        <v>746</v>
      </c>
      <c r="P936" s="309" t="s">
        <v>4220</v>
      </c>
    </row>
    <row r="937" s="106" customFormat="1" ht="20.1" customHeight="1" spans="1:16">
      <c r="A937" s="279" t="s">
        <v>2915</v>
      </c>
      <c r="B937" s="41" t="s">
        <v>2916</v>
      </c>
      <c r="C937" s="287">
        <v>355</v>
      </c>
      <c r="D937" s="288">
        <f t="shared" si="204"/>
        <v>1006</v>
      </c>
      <c r="E937" s="287">
        <v>49</v>
      </c>
      <c r="F937" s="287"/>
      <c r="G937" s="287">
        <v>927</v>
      </c>
      <c r="H937" s="287"/>
      <c r="I937" s="302">
        <v>30</v>
      </c>
      <c r="J937" s="303">
        <f t="shared" si="205"/>
        <v>283.38</v>
      </c>
      <c r="K937" s="294" t="s">
        <v>3555</v>
      </c>
      <c r="L937" s="44">
        <v>1</v>
      </c>
      <c r="M937" s="308" t="s">
        <v>2915</v>
      </c>
      <c r="N937" s="308"/>
      <c r="O937" s="308" t="s">
        <v>746</v>
      </c>
      <c r="P937" s="309" t="s">
        <v>4221</v>
      </c>
    </row>
    <row r="938" s="106" customFormat="1" ht="20.1" customHeight="1" spans="1:16">
      <c r="A938" s="279" t="s">
        <v>2917</v>
      </c>
      <c r="B938" s="41" t="s">
        <v>2918</v>
      </c>
      <c r="C938" s="287">
        <v>39</v>
      </c>
      <c r="D938" s="288">
        <f t="shared" si="204"/>
        <v>6</v>
      </c>
      <c r="E938" s="287"/>
      <c r="F938" s="287"/>
      <c r="G938" s="287">
        <v>6</v>
      </c>
      <c r="H938" s="287"/>
      <c r="I938" s="302"/>
      <c r="J938" s="303">
        <f t="shared" si="205"/>
        <v>15.38</v>
      </c>
      <c r="K938" s="294" t="s">
        <v>3555</v>
      </c>
      <c r="L938" s="44">
        <v>1</v>
      </c>
      <c r="M938" s="308" t="s">
        <v>2917</v>
      </c>
      <c r="N938" s="308"/>
      <c r="O938" s="308" t="s">
        <v>746</v>
      </c>
      <c r="P938" s="309" t="s">
        <v>4222</v>
      </c>
    </row>
    <row r="939" s="106" customFormat="1" ht="20.1" customHeight="1" spans="1:16">
      <c r="A939" s="279" t="s">
        <v>2919</v>
      </c>
      <c r="B939" s="41" t="s">
        <v>2920</v>
      </c>
      <c r="C939" s="287">
        <v>13</v>
      </c>
      <c r="D939" s="288">
        <f t="shared" si="204"/>
        <v>0</v>
      </c>
      <c r="E939" s="287"/>
      <c r="F939" s="287"/>
      <c r="G939" s="287"/>
      <c r="H939" s="287"/>
      <c r="I939" s="302"/>
      <c r="J939" s="303">
        <f t="shared" si="205"/>
        <v>-100</v>
      </c>
      <c r="K939" s="294" t="s">
        <v>3555</v>
      </c>
      <c r="L939" s="44">
        <v>1</v>
      </c>
      <c r="M939" s="308" t="s">
        <v>2919</v>
      </c>
      <c r="N939" s="308"/>
      <c r="O939" s="308" t="s">
        <v>746</v>
      </c>
      <c r="P939" s="309" t="s">
        <v>4223</v>
      </c>
    </row>
    <row r="940" s="106" customFormat="1" ht="20.1" customHeight="1" spans="1:16">
      <c r="A940" s="279" t="s">
        <v>2921</v>
      </c>
      <c r="B940" s="41" t="s">
        <v>2922</v>
      </c>
      <c r="C940" s="287"/>
      <c r="D940" s="288">
        <f t="shared" si="204"/>
        <v>0</v>
      </c>
      <c r="E940" s="287"/>
      <c r="F940" s="287"/>
      <c r="G940" s="287"/>
      <c r="H940" s="287"/>
      <c r="I940" s="302"/>
      <c r="J940" s="303">
        <f t="shared" si="205"/>
        <v>0</v>
      </c>
      <c r="K940" s="294" t="s">
        <v>3555</v>
      </c>
      <c r="L940" s="44">
        <v>1</v>
      </c>
      <c r="M940" s="308" t="s">
        <v>2921</v>
      </c>
      <c r="N940" s="308"/>
      <c r="O940" s="308" t="s">
        <v>746</v>
      </c>
      <c r="P940" s="309" t="s">
        <v>4224</v>
      </c>
    </row>
    <row r="941" s="106" customFormat="1" ht="20.1" customHeight="1" spans="1:16">
      <c r="A941" s="279" t="s">
        <v>2923</v>
      </c>
      <c r="B941" s="41" t="s">
        <v>2924</v>
      </c>
      <c r="C941" s="287"/>
      <c r="D941" s="288">
        <f t="shared" si="204"/>
        <v>0</v>
      </c>
      <c r="E941" s="287"/>
      <c r="F941" s="287"/>
      <c r="G941" s="287"/>
      <c r="H941" s="287"/>
      <c r="I941" s="302"/>
      <c r="J941" s="303">
        <f t="shared" si="205"/>
        <v>0</v>
      </c>
      <c r="K941" s="294" t="s">
        <v>3555</v>
      </c>
      <c r="L941" s="44">
        <v>1</v>
      </c>
      <c r="M941" s="308" t="s">
        <v>2923</v>
      </c>
      <c r="N941" s="308"/>
      <c r="O941" s="308" t="s">
        <v>746</v>
      </c>
      <c r="P941" s="309" t="s">
        <v>4225</v>
      </c>
    </row>
    <row r="942" s="106" customFormat="1" ht="20.1" customHeight="1" spans="1:16">
      <c r="A942" s="279" t="s">
        <v>2925</v>
      </c>
      <c r="B942" s="41" t="s">
        <v>2926</v>
      </c>
      <c r="C942" s="287"/>
      <c r="D942" s="288">
        <f t="shared" si="204"/>
        <v>0</v>
      </c>
      <c r="E942" s="287"/>
      <c r="F942" s="287"/>
      <c r="G942" s="287"/>
      <c r="H942" s="287"/>
      <c r="I942" s="302"/>
      <c r="J942" s="303">
        <f t="shared" si="205"/>
        <v>0</v>
      </c>
      <c r="K942" s="294" t="s">
        <v>3555</v>
      </c>
      <c r="L942" s="44">
        <v>1</v>
      </c>
      <c r="M942" s="308" t="s">
        <v>2925</v>
      </c>
      <c r="N942" s="308"/>
      <c r="O942" s="308" t="s">
        <v>746</v>
      </c>
      <c r="P942" s="309" t="s">
        <v>4226</v>
      </c>
    </row>
    <row r="943" s="106" customFormat="1" ht="20.1" customHeight="1" spans="1:16">
      <c r="A943" s="279" t="s">
        <v>2927</v>
      </c>
      <c r="B943" s="41" t="s">
        <v>2928</v>
      </c>
      <c r="C943" s="287">
        <v>281</v>
      </c>
      <c r="D943" s="288">
        <f t="shared" si="204"/>
        <v>26</v>
      </c>
      <c r="E943" s="287"/>
      <c r="F943" s="287"/>
      <c r="G943" s="287">
        <v>26</v>
      </c>
      <c r="H943" s="287"/>
      <c r="I943" s="302"/>
      <c r="J943" s="303">
        <f t="shared" si="205"/>
        <v>9.25</v>
      </c>
      <c r="K943" s="294" t="s">
        <v>3555</v>
      </c>
      <c r="L943" s="44">
        <v>1</v>
      </c>
      <c r="M943" s="308" t="s">
        <v>2927</v>
      </c>
      <c r="N943" s="308"/>
      <c r="O943" s="308" t="s">
        <v>746</v>
      </c>
      <c r="P943" s="309" t="s">
        <v>4227</v>
      </c>
    </row>
    <row r="944" s="106" customFormat="1" ht="20.1" customHeight="1" spans="1:16">
      <c r="A944" s="279" t="s">
        <v>2929</v>
      </c>
      <c r="B944" s="41" t="s">
        <v>2930</v>
      </c>
      <c r="C944" s="287"/>
      <c r="D944" s="288">
        <f t="shared" si="204"/>
        <v>0</v>
      </c>
      <c r="E944" s="287"/>
      <c r="F944" s="287"/>
      <c r="G944" s="287"/>
      <c r="H944" s="287"/>
      <c r="I944" s="302"/>
      <c r="J944" s="303">
        <f t="shared" si="205"/>
        <v>0</v>
      </c>
      <c r="K944" s="294" t="s">
        <v>3555</v>
      </c>
      <c r="L944" s="44">
        <v>1</v>
      </c>
      <c r="M944" s="308" t="s">
        <v>2929</v>
      </c>
      <c r="N944" s="308"/>
      <c r="O944" s="308" t="s">
        <v>746</v>
      </c>
      <c r="P944" s="309" t="s">
        <v>4228</v>
      </c>
    </row>
    <row r="945" s="106" customFormat="1" ht="20.1" customHeight="1" spans="1:16">
      <c r="A945" s="279" t="s">
        <v>2931</v>
      </c>
      <c r="B945" s="41" t="s">
        <v>2876</v>
      </c>
      <c r="C945" s="287"/>
      <c r="D945" s="288">
        <f t="shared" si="204"/>
        <v>0</v>
      </c>
      <c r="E945" s="287"/>
      <c r="F945" s="287"/>
      <c r="G945" s="287"/>
      <c r="H945" s="287"/>
      <c r="I945" s="302"/>
      <c r="J945" s="303">
        <f t="shared" si="205"/>
        <v>0</v>
      </c>
      <c r="K945" s="294" t="s">
        <v>3555</v>
      </c>
      <c r="L945" s="44">
        <v>1</v>
      </c>
      <c r="M945" s="308" t="s">
        <v>2931</v>
      </c>
      <c r="N945" s="308"/>
      <c r="O945" s="308" t="s">
        <v>746</v>
      </c>
      <c r="P945" s="314" t="s">
        <v>4202</v>
      </c>
    </row>
    <row r="946" s="106" customFormat="1" ht="20.1" customHeight="1" spans="1:16">
      <c r="A946" s="279" t="s">
        <v>2932</v>
      </c>
      <c r="B946" s="41" t="s">
        <v>2933</v>
      </c>
      <c r="C946" s="287">
        <v>12</v>
      </c>
      <c r="D946" s="288">
        <f t="shared" si="204"/>
        <v>189</v>
      </c>
      <c r="E946" s="287"/>
      <c r="F946" s="287">
        <v>71</v>
      </c>
      <c r="G946" s="287">
        <v>118</v>
      </c>
      <c r="H946" s="287"/>
      <c r="I946" s="302"/>
      <c r="J946" s="303">
        <f t="shared" si="205"/>
        <v>1575</v>
      </c>
      <c r="K946" s="294" t="s">
        <v>3555</v>
      </c>
      <c r="L946" s="44">
        <v>1</v>
      </c>
      <c r="M946" s="308" t="s">
        <v>2932</v>
      </c>
      <c r="N946" s="308"/>
      <c r="O946" s="308" t="s">
        <v>746</v>
      </c>
      <c r="P946" s="309" t="s">
        <v>4229</v>
      </c>
    </row>
    <row r="947" s="106" customFormat="1" ht="20.1" customHeight="1" spans="1:16">
      <c r="A947" s="279" t="s">
        <v>2934</v>
      </c>
      <c r="B947" s="41" t="s">
        <v>2935</v>
      </c>
      <c r="C947" s="287">
        <v>2</v>
      </c>
      <c r="D947" s="288">
        <f t="shared" si="204"/>
        <v>5</v>
      </c>
      <c r="E947" s="287"/>
      <c r="F947" s="287"/>
      <c r="G947" s="287"/>
      <c r="H947" s="287"/>
      <c r="I947" s="302">
        <v>5</v>
      </c>
      <c r="J947" s="303">
        <f t="shared" si="205"/>
        <v>250</v>
      </c>
      <c r="K947" s="294" t="s">
        <v>3555</v>
      </c>
      <c r="L947" s="44">
        <v>1</v>
      </c>
      <c r="M947" s="308" t="s">
        <v>2934</v>
      </c>
      <c r="N947" s="308"/>
      <c r="O947" s="308" t="s">
        <v>746</v>
      </c>
      <c r="P947" s="309" t="s">
        <v>4230</v>
      </c>
    </row>
    <row r="948" s="106" customFormat="1" ht="20.1" customHeight="1" spans="1:16">
      <c r="A948" s="279" t="s">
        <v>2936</v>
      </c>
      <c r="B948" s="41" t="s">
        <v>2937</v>
      </c>
      <c r="C948" s="287"/>
      <c r="D948" s="288">
        <f t="shared" si="204"/>
        <v>0</v>
      </c>
      <c r="E948" s="287"/>
      <c r="F948" s="287"/>
      <c r="G948" s="287"/>
      <c r="H948" s="287"/>
      <c r="I948" s="302"/>
      <c r="J948" s="303"/>
      <c r="K948" s="294" t="s">
        <v>3555</v>
      </c>
      <c r="L948" s="44">
        <v>1</v>
      </c>
      <c r="M948" s="308" t="s">
        <v>2936</v>
      </c>
      <c r="N948" s="308"/>
      <c r="O948" s="308" t="s">
        <v>746</v>
      </c>
      <c r="P948" s="340" t="s">
        <v>4231</v>
      </c>
    </row>
    <row r="949" s="106" customFormat="1" ht="20.1" customHeight="1" spans="1:16">
      <c r="A949" s="279" t="s">
        <v>2938</v>
      </c>
      <c r="B949" s="41" t="s">
        <v>2939</v>
      </c>
      <c r="C949" s="287"/>
      <c r="D949" s="288">
        <f t="shared" si="204"/>
        <v>0</v>
      </c>
      <c r="E949" s="287"/>
      <c r="F949" s="287"/>
      <c r="G949" s="287"/>
      <c r="H949" s="287"/>
      <c r="I949" s="302"/>
      <c r="J949" s="303"/>
      <c r="K949" s="294" t="s">
        <v>3555</v>
      </c>
      <c r="L949" s="44">
        <v>1</v>
      </c>
      <c r="M949" s="308" t="s">
        <v>2938</v>
      </c>
      <c r="N949" s="308"/>
      <c r="O949" s="308" t="s">
        <v>746</v>
      </c>
      <c r="P949" s="340" t="s">
        <v>4232</v>
      </c>
    </row>
    <row r="950" s="106" customFormat="1" ht="20.1" customHeight="1" spans="1:16">
      <c r="A950" s="279" t="s">
        <v>2940</v>
      </c>
      <c r="B950" s="41" t="s">
        <v>2941</v>
      </c>
      <c r="C950" s="287">
        <v>112</v>
      </c>
      <c r="D950" s="288">
        <f t="shared" si="204"/>
        <v>14</v>
      </c>
      <c r="E950" s="287"/>
      <c r="F950" s="287"/>
      <c r="G950" s="287">
        <v>9</v>
      </c>
      <c r="H950" s="287"/>
      <c r="I950" s="302">
        <v>5</v>
      </c>
      <c r="J950" s="303">
        <f t="shared" ref="J950:J1013" si="207">ROUND(IF(C950=0,IF(D950=0,0,1),IF(D950=0,-1,D950/C950)),4)*100</f>
        <v>12.5</v>
      </c>
      <c r="K950" s="294" t="s">
        <v>3555</v>
      </c>
      <c r="L950" s="44">
        <v>1</v>
      </c>
      <c r="M950" s="308" t="s">
        <v>2940</v>
      </c>
      <c r="N950" s="308"/>
      <c r="O950" s="308" t="s">
        <v>746</v>
      </c>
      <c r="P950" s="309" t="s">
        <v>4233</v>
      </c>
    </row>
    <row r="951" s="107" customFormat="1" ht="20.1" customHeight="1" spans="1:16">
      <c r="A951" s="283" t="s">
        <v>748</v>
      </c>
      <c r="B951" s="689" t="s">
        <v>2942</v>
      </c>
      <c r="C951" s="285">
        <f t="shared" ref="C951:I951" si="208">SUM(C952:C957)</f>
        <v>60021</v>
      </c>
      <c r="D951" s="285">
        <f t="shared" si="204"/>
        <v>33586</v>
      </c>
      <c r="E951" s="285">
        <f t="shared" si="208"/>
        <v>26170</v>
      </c>
      <c r="F951" s="285">
        <f t="shared" si="208"/>
        <v>40</v>
      </c>
      <c r="G951" s="285">
        <f t="shared" si="208"/>
        <v>3548</v>
      </c>
      <c r="H951" s="285">
        <f t="shared" si="208"/>
        <v>1255</v>
      </c>
      <c r="I951" s="285">
        <f t="shared" si="208"/>
        <v>2573</v>
      </c>
      <c r="J951" s="324">
        <f t="shared" si="207"/>
        <v>55.96</v>
      </c>
      <c r="K951" s="300" t="s">
        <v>3551</v>
      </c>
      <c r="L951" s="301"/>
      <c r="M951" s="312" t="s">
        <v>748</v>
      </c>
      <c r="N951" s="312" t="s">
        <v>740</v>
      </c>
      <c r="O951" s="312" t="s">
        <v>748</v>
      </c>
      <c r="P951" s="313" t="s">
        <v>4234</v>
      </c>
    </row>
    <row r="952" s="267" customFormat="1" ht="20.1" customHeight="1" spans="1:17">
      <c r="A952" s="279" t="s">
        <v>2943</v>
      </c>
      <c r="B952" s="41" t="s">
        <v>2944</v>
      </c>
      <c r="C952" s="287">
        <v>15105</v>
      </c>
      <c r="D952" s="288">
        <f t="shared" si="204"/>
        <v>517</v>
      </c>
      <c r="E952" s="287"/>
      <c r="F952" s="287"/>
      <c r="G952" s="287">
        <v>517</v>
      </c>
      <c r="H952" s="287"/>
      <c r="I952" s="302"/>
      <c r="J952" s="303">
        <f t="shared" si="207"/>
        <v>3.42</v>
      </c>
      <c r="K952" s="345" t="s">
        <v>3555</v>
      </c>
      <c r="L952" s="346">
        <v>1</v>
      </c>
      <c r="M952" s="348" t="s">
        <v>4235</v>
      </c>
      <c r="N952" s="348"/>
      <c r="O952" s="348" t="s">
        <v>748</v>
      </c>
      <c r="P952" s="349" t="s">
        <v>3556</v>
      </c>
      <c r="Q952" s="351" t="s">
        <v>2945</v>
      </c>
    </row>
    <row r="953" s="267" customFormat="1" ht="20.1" customHeight="1" spans="1:16">
      <c r="A953" s="279" t="s">
        <v>2946</v>
      </c>
      <c r="B953" s="41" t="s">
        <v>2947</v>
      </c>
      <c r="C953" s="287">
        <v>25265</v>
      </c>
      <c r="D953" s="288">
        <f t="shared" si="204"/>
        <v>2607</v>
      </c>
      <c r="E953" s="287"/>
      <c r="F953" s="287"/>
      <c r="G953" s="287">
        <v>2607</v>
      </c>
      <c r="H953" s="287"/>
      <c r="I953" s="302"/>
      <c r="J953" s="303">
        <f t="shared" si="207"/>
        <v>10.32</v>
      </c>
      <c r="K953" s="345" t="s">
        <v>3555</v>
      </c>
      <c r="L953" s="346">
        <v>1</v>
      </c>
      <c r="M953" s="348" t="s">
        <v>4236</v>
      </c>
      <c r="N953" s="348"/>
      <c r="O953" s="348" t="s">
        <v>748</v>
      </c>
      <c r="P953" s="349" t="s">
        <v>3557</v>
      </c>
    </row>
    <row r="954" s="267" customFormat="1" ht="20.1" customHeight="1" spans="1:16">
      <c r="A954" s="279" t="s">
        <v>2948</v>
      </c>
      <c r="B954" s="41" t="s">
        <v>2949</v>
      </c>
      <c r="C954" s="287">
        <v>1227</v>
      </c>
      <c r="D954" s="288">
        <f t="shared" si="204"/>
        <v>87</v>
      </c>
      <c r="E954" s="287"/>
      <c r="F954" s="287"/>
      <c r="G954" s="287">
        <v>87</v>
      </c>
      <c r="H954" s="287"/>
      <c r="I954" s="302"/>
      <c r="J954" s="303">
        <f t="shared" si="207"/>
        <v>7.09</v>
      </c>
      <c r="K954" s="345" t="s">
        <v>3555</v>
      </c>
      <c r="L954" s="346">
        <v>1</v>
      </c>
      <c r="M954" s="348" t="s">
        <v>4237</v>
      </c>
      <c r="N954" s="348"/>
      <c r="O954" s="348" t="s">
        <v>748</v>
      </c>
      <c r="P954" s="349" t="s">
        <v>3558</v>
      </c>
    </row>
    <row r="955" s="106" customFormat="1" ht="20.1" customHeight="1" spans="1:16">
      <c r="A955" s="279" t="s">
        <v>2950</v>
      </c>
      <c r="B955" s="41" t="s">
        <v>2951</v>
      </c>
      <c r="C955" s="287">
        <v>1189</v>
      </c>
      <c r="D955" s="288">
        <f t="shared" si="204"/>
        <v>0</v>
      </c>
      <c r="E955" s="287"/>
      <c r="F955" s="287"/>
      <c r="G955" s="287"/>
      <c r="H955" s="287"/>
      <c r="I955" s="302"/>
      <c r="J955" s="303">
        <f t="shared" si="207"/>
        <v>-100</v>
      </c>
      <c r="K955" s="294" t="s">
        <v>3555</v>
      </c>
      <c r="L955" s="44">
        <v>1</v>
      </c>
      <c r="M955" s="308" t="s">
        <v>2943</v>
      </c>
      <c r="N955" s="308"/>
      <c r="O955" s="308" t="s">
        <v>748</v>
      </c>
      <c r="P955" s="309" t="s">
        <v>4238</v>
      </c>
    </row>
    <row r="956" s="106" customFormat="1" ht="20.1" customHeight="1" spans="1:16">
      <c r="A956" s="279" t="s">
        <v>2952</v>
      </c>
      <c r="B956" s="41" t="s">
        <v>2953</v>
      </c>
      <c r="C956" s="287"/>
      <c r="D956" s="288">
        <f t="shared" si="204"/>
        <v>0</v>
      </c>
      <c r="E956" s="287"/>
      <c r="F956" s="287"/>
      <c r="G956" s="287"/>
      <c r="H956" s="287"/>
      <c r="I956" s="302"/>
      <c r="J956" s="303">
        <f t="shared" si="207"/>
        <v>0</v>
      </c>
      <c r="K956" s="294" t="s">
        <v>3555</v>
      </c>
      <c r="L956" s="44">
        <v>1</v>
      </c>
      <c r="M956" s="308" t="s">
        <v>2946</v>
      </c>
      <c r="N956" s="308"/>
      <c r="O956" s="308" t="s">
        <v>748</v>
      </c>
      <c r="P956" s="309" t="s">
        <v>4239</v>
      </c>
    </row>
    <row r="957" s="106" customFormat="1" ht="20.1" customHeight="1" spans="1:16">
      <c r="A957" s="279" t="s">
        <v>2954</v>
      </c>
      <c r="B957" s="41" t="s">
        <v>2955</v>
      </c>
      <c r="C957" s="287">
        <v>17235</v>
      </c>
      <c r="D957" s="288">
        <f t="shared" si="204"/>
        <v>30375</v>
      </c>
      <c r="E957" s="287">
        <v>26170</v>
      </c>
      <c r="F957" s="287">
        <v>40</v>
      </c>
      <c r="G957" s="287">
        <v>337</v>
      </c>
      <c r="H957" s="287">
        <v>1255</v>
      </c>
      <c r="I957" s="302">
        <v>2573</v>
      </c>
      <c r="J957" s="303">
        <f t="shared" si="207"/>
        <v>176.24</v>
      </c>
      <c r="K957" s="294" t="s">
        <v>3555</v>
      </c>
      <c r="L957" s="44">
        <v>1</v>
      </c>
      <c r="M957" s="308" t="s">
        <v>2948</v>
      </c>
      <c r="N957" s="308"/>
      <c r="O957" s="308" t="s">
        <v>748</v>
      </c>
      <c r="P957" s="309" t="s">
        <v>4240</v>
      </c>
    </row>
    <row r="958" s="106" customFormat="1" ht="20.1" customHeight="1" spans="1:16">
      <c r="A958" s="283" t="s">
        <v>750</v>
      </c>
      <c r="B958" s="323" t="s">
        <v>2956</v>
      </c>
      <c r="C958" s="285">
        <f t="shared" ref="C958:I958" si="209">SUM(C959:C963)</f>
        <v>7043</v>
      </c>
      <c r="D958" s="285">
        <f t="shared" si="204"/>
        <v>7133</v>
      </c>
      <c r="E958" s="285">
        <f t="shared" si="209"/>
        <v>0</v>
      </c>
      <c r="F958" s="285">
        <f t="shared" si="209"/>
        <v>1321</v>
      </c>
      <c r="G958" s="285">
        <f t="shared" si="209"/>
        <v>718</v>
      </c>
      <c r="H958" s="285">
        <f t="shared" si="209"/>
        <v>0</v>
      </c>
      <c r="I958" s="285">
        <f t="shared" si="209"/>
        <v>5094</v>
      </c>
      <c r="J958" s="324">
        <f t="shared" si="207"/>
        <v>101.28</v>
      </c>
      <c r="K958" s="294" t="s">
        <v>3555</v>
      </c>
      <c r="L958" s="44">
        <v>1</v>
      </c>
      <c r="M958" s="308" t="s">
        <v>2950</v>
      </c>
      <c r="N958" s="308"/>
      <c r="O958" s="308" t="s">
        <v>748</v>
      </c>
      <c r="P958" s="309" t="s">
        <v>4241</v>
      </c>
    </row>
    <row r="959" s="106" customFormat="1" ht="20.1" customHeight="1" spans="1:16">
      <c r="A959" s="279" t="s">
        <v>2957</v>
      </c>
      <c r="B959" s="41" t="s">
        <v>2958</v>
      </c>
      <c r="C959" s="287">
        <v>1543</v>
      </c>
      <c r="D959" s="288">
        <f t="shared" si="204"/>
        <v>2123</v>
      </c>
      <c r="E959" s="287"/>
      <c r="F959" s="287">
        <v>1311</v>
      </c>
      <c r="G959" s="287">
        <v>712</v>
      </c>
      <c r="H959" s="287"/>
      <c r="I959" s="302">
        <v>100</v>
      </c>
      <c r="J959" s="303">
        <f t="shared" si="207"/>
        <v>137.59</v>
      </c>
      <c r="K959" s="294" t="s">
        <v>3555</v>
      </c>
      <c r="L959" s="44">
        <v>1</v>
      </c>
      <c r="M959" s="308" t="s">
        <v>2952</v>
      </c>
      <c r="N959" s="308"/>
      <c r="O959" s="308" t="s">
        <v>748</v>
      </c>
      <c r="P959" s="309" t="s">
        <v>4242</v>
      </c>
    </row>
    <row r="960" s="267" customFormat="1" ht="20.1" customHeight="1" spans="1:17">
      <c r="A960" s="279" t="s">
        <v>2959</v>
      </c>
      <c r="B960" s="41" t="s">
        <v>2960</v>
      </c>
      <c r="C960" s="287">
        <v>5418</v>
      </c>
      <c r="D960" s="288">
        <f t="shared" si="204"/>
        <v>4994</v>
      </c>
      <c r="E960" s="287"/>
      <c r="F960" s="287"/>
      <c r="G960" s="287"/>
      <c r="H960" s="287"/>
      <c r="I960" s="302">
        <v>4994</v>
      </c>
      <c r="J960" s="303">
        <f t="shared" si="207"/>
        <v>92.17</v>
      </c>
      <c r="K960" s="345" t="s">
        <v>3555</v>
      </c>
      <c r="L960" s="346">
        <v>1</v>
      </c>
      <c r="M960" s="348" t="s">
        <v>4243</v>
      </c>
      <c r="N960" s="348"/>
      <c r="O960" s="348" t="s">
        <v>748</v>
      </c>
      <c r="P960" s="350" t="s">
        <v>4244</v>
      </c>
      <c r="Q960" s="352" t="s">
        <v>2945</v>
      </c>
    </row>
    <row r="961" s="106" customFormat="1" ht="20.1" customHeight="1" spans="1:16">
      <c r="A961" s="279" t="s">
        <v>2961</v>
      </c>
      <c r="B961" s="41" t="s">
        <v>2962</v>
      </c>
      <c r="C961" s="287">
        <v>50</v>
      </c>
      <c r="D961" s="288">
        <f t="shared" si="204"/>
        <v>0</v>
      </c>
      <c r="E961" s="287"/>
      <c r="F961" s="287"/>
      <c r="G961" s="287"/>
      <c r="H961" s="287"/>
      <c r="I961" s="302"/>
      <c r="J961" s="303">
        <f t="shared" si="207"/>
        <v>-100</v>
      </c>
      <c r="K961" s="294" t="s">
        <v>3555</v>
      </c>
      <c r="L961" s="44">
        <v>1</v>
      </c>
      <c r="M961" s="308" t="s">
        <v>2954</v>
      </c>
      <c r="N961" s="308"/>
      <c r="O961" s="308" t="s">
        <v>748</v>
      </c>
      <c r="P961" s="309" t="s">
        <v>4245</v>
      </c>
    </row>
    <row r="962" s="107" customFormat="1" ht="20.1" customHeight="1" spans="1:16">
      <c r="A962" s="279" t="s">
        <v>2963</v>
      </c>
      <c r="B962" s="41" t="s">
        <v>2964</v>
      </c>
      <c r="C962" s="287">
        <v>32</v>
      </c>
      <c r="D962" s="288">
        <f t="shared" si="204"/>
        <v>0</v>
      </c>
      <c r="E962" s="287"/>
      <c r="F962" s="287"/>
      <c r="G962" s="287"/>
      <c r="H962" s="287"/>
      <c r="I962" s="302"/>
      <c r="J962" s="303">
        <f t="shared" si="207"/>
        <v>-100</v>
      </c>
      <c r="K962" s="300" t="s">
        <v>3551</v>
      </c>
      <c r="L962" s="301"/>
      <c r="M962" s="312" t="s">
        <v>750</v>
      </c>
      <c r="N962" s="312" t="s">
        <v>740</v>
      </c>
      <c r="O962" s="312" t="s">
        <v>750</v>
      </c>
      <c r="P962" s="313" t="s">
        <v>4246</v>
      </c>
    </row>
    <row r="963" s="106" customFormat="1" ht="20.1" customHeight="1" spans="1:16">
      <c r="A963" s="279" t="s">
        <v>2965</v>
      </c>
      <c r="B963" s="41" t="s">
        <v>2966</v>
      </c>
      <c r="C963" s="287"/>
      <c r="D963" s="288">
        <f t="shared" si="204"/>
        <v>16</v>
      </c>
      <c r="E963" s="287"/>
      <c r="F963" s="287">
        <v>10</v>
      </c>
      <c r="G963" s="287">
        <v>6</v>
      </c>
      <c r="H963" s="287"/>
      <c r="I963" s="302"/>
      <c r="J963" s="303">
        <f t="shared" si="207"/>
        <v>100</v>
      </c>
      <c r="K963" s="294" t="s">
        <v>3555</v>
      </c>
      <c r="L963" s="44">
        <v>1</v>
      </c>
      <c r="M963" s="308" t="s">
        <v>2957</v>
      </c>
      <c r="N963" s="308"/>
      <c r="O963" s="308" t="s">
        <v>750</v>
      </c>
      <c r="P963" s="309" t="s">
        <v>4247</v>
      </c>
    </row>
    <row r="964" s="106" customFormat="1" ht="20.1" customHeight="1" spans="1:16">
      <c r="A964" s="283" t="s">
        <v>752</v>
      </c>
      <c r="B964" s="323" t="s">
        <v>2967</v>
      </c>
      <c r="C964" s="285">
        <f t="shared" ref="C964:I964" si="210">SUM(C965:C969)</f>
        <v>258</v>
      </c>
      <c r="D964" s="285">
        <f t="shared" si="204"/>
        <v>1242</v>
      </c>
      <c r="E964" s="285">
        <f t="shared" si="210"/>
        <v>753</v>
      </c>
      <c r="F964" s="285">
        <f t="shared" si="210"/>
        <v>0</v>
      </c>
      <c r="G964" s="285">
        <f t="shared" si="210"/>
        <v>427</v>
      </c>
      <c r="H964" s="285">
        <f t="shared" si="210"/>
        <v>0</v>
      </c>
      <c r="I964" s="285">
        <f t="shared" si="210"/>
        <v>62</v>
      </c>
      <c r="J964" s="324">
        <f t="shared" si="207"/>
        <v>481.4</v>
      </c>
      <c r="K964" s="294" t="s">
        <v>3555</v>
      </c>
      <c r="L964" s="44">
        <v>1</v>
      </c>
      <c r="M964" s="308" t="s">
        <v>2959</v>
      </c>
      <c r="N964" s="308"/>
      <c r="O964" s="308" t="s">
        <v>750</v>
      </c>
      <c r="P964" s="309" t="s">
        <v>4248</v>
      </c>
    </row>
    <row r="965" s="106" customFormat="1" ht="20.1" customHeight="1" spans="1:16">
      <c r="A965" s="279" t="s">
        <v>2968</v>
      </c>
      <c r="B965" s="41" t="s">
        <v>2969</v>
      </c>
      <c r="C965" s="353"/>
      <c r="D965" s="288">
        <f t="shared" si="204"/>
        <v>0</v>
      </c>
      <c r="E965" s="287"/>
      <c r="F965" s="287"/>
      <c r="G965" s="287"/>
      <c r="H965" s="287"/>
      <c r="I965" s="302"/>
      <c r="J965" s="303">
        <f t="shared" si="207"/>
        <v>0</v>
      </c>
      <c r="K965" s="294" t="s">
        <v>3555</v>
      </c>
      <c r="L965" s="44">
        <v>1</v>
      </c>
      <c r="M965" s="308" t="s">
        <v>2961</v>
      </c>
      <c r="N965" s="308"/>
      <c r="O965" s="308" t="s">
        <v>750</v>
      </c>
      <c r="P965" s="309" t="s">
        <v>4249</v>
      </c>
    </row>
    <row r="966" s="106" customFormat="1" ht="20.1" customHeight="1" spans="1:16">
      <c r="A966" s="279" t="s">
        <v>2970</v>
      </c>
      <c r="B966" s="41" t="s">
        <v>2971</v>
      </c>
      <c r="C966" s="353">
        <v>258</v>
      </c>
      <c r="D966" s="288">
        <f t="shared" ref="D966:D1029" si="211">SUM(E966:I966)</f>
        <v>1242</v>
      </c>
      <c r="E966" s="287">
        <v>753</v>
      </c>
      <c r="F966" s="287"/>
      <c r="G966" s="287">
        <v>427</v>
      </c>
      <c r="H966" s="287"/>
      <c r="I966" s="302">
        <v>62</v>
      </c>
      <c r="J966" s="303">
        <f t="shared" si="207"/>
        <v>481.4</v>
      </c>
      <c r="K966" s="294" t="s">
        <v>3555</v>
      </c>
      <c r="L966" s="44">
        <v>1</v>
      </c>
      <c r="M966" s="308" t="s">
        <v>2963</v>
      </c>
      <c r="N966" s="308"/>
      <c r="O966" s="308" t="s">
        <v>750</v>
      </c>
      <c r="P966" s="309" t="s">
        <v>4250</v>
      </c>
    </row>
    <row r="967" s="106" customFormat="1" ht="20.1" customHeight="1" spans="1:16">
      <c r="A967" s="279" t="s">
        <v>2972</v>
      </c>
      <c r="B967" s="41" t="s">
        <v>2973</v>
      </c>
      <c r="C967" s="353"/>
      <c r="D967" s="288">
        <f t="shared" si="211"/>
        <v>0</v>
      </c>
      <c r="E967" s="287"/>
      <c r="F967" s="287"/>
      <c r="G967" s="287"/>
      <c r="H967" s="287"/>
      <c r="I967" s="302"/>
      <c r="J967" s="303">
        <f t="shared" si="207"/>
        <v>0</v>
      </c>
      <c r="K967" s="294" t="s">
        <v>3555</v>
      </c>
      <c r="L967" s="44">
        <v>1</v>
      </c>
      <c r="M967" s="308" t="s">
        <v>2965</v>
      </c>
      <c r="N967" s="308"/>
      <c r="O967" s="308" t="s">
        <v>750</v>
      </c>
      <c r="P967" s="309" t="s">
        <v>4251</v>
      </c>
    </row>
    <row r="968" s="107" customFormat="1" ht="20.1" customHeight="1" spans="1:16">
      <c r="A968" s="279" t="s">
        <v>2974</v>
      </c>
      <c r="B968" s="41" t="s">
        <v>2975</v>
      </c>
      <c r="C968" s="353"/>
      <c r="D968" s="288">
        <f t="shared" si="211"/>
        <v>0</v>
      </c>
      <c r="E968" s="287"/>
      <c r="F968" s="287"/>
      <c r="G968" s="287"/>
      <c r="H968" s="287"/>
      <c r="I968" s="302"/>
      <c r="J968" s="303">
        <f t="shared" si="207"/>
        <v>0</v>
      </c>
      <c r="K968" s="300" t="s">
        <v>3551</v>
      </c>
      <c r="L968" s="301"/>
      <c r="M968" s="312" t="s">
        <v>752</v>
      </c>
      <c r="N968" s="312" t="s">
        <v>740</v>
      </c>
      <c r="O968" s="312" t="s">
        <v>752</v>
      </c>
      <c r="P968" s="313" t="s">
        <v>4252</v>
      </c>
    </row>
    <row r="969" s="106" customFormat="1" ht="20.1" customHeight="1" spans="1:16">
      <c r="A969" s="279" t="s">
        <v>2976</v>
      </c>
      <c r="B969" s="41" t="s">
        <v>2977</v>
      </c>
      <c r="C969" s="287"/>
      <c r="D969" s="288">
        <f t="shared" si="211"/>
        <v>0</v>
      </c>
      <c r="E969" s="287"/>
      <c r="F969" s="287"/>
      <c r="G969" s="287"/>
      <c r="H969" s="287"/>
      <c r="I969" s="302"/>
      <c r="J969" s="303">
        <f t="shared" si="207"/>
        <v>0</v>
      </c>
      <c r="K969" s="294" t="s">
        <v>3555</v>
      </c>
      <c r="L969" s="44">
        <v>1</v>
      </c>
      <c r="M969" s="308" t="s">
        <v>2968</v>
      </c>
      <c r="N969" s="308"/>
      <c r="O969" s="308" t="s">
        <v>752</v>
      </c>
      <c r="P969" s="309" t="s">
        <v>4253</v>
      </c>
    </row>
    <row r="970" s="106" customFormat="1" ht="20.1" customHeight="1" spans="1:16">
      <c r="A970" s="283" t="s">
        <v>754</v>
      </c>
      <c r="B970" s="323" t="s">
        <v>2978</v>
      </c>
      <c r="C970" s="285">
        <f t="shared" ref="C970:I970" si="212">SUM(C971:C972)</f>
        <v>0</v>
      </c>
      <c r="D970" s="285">
        <f t="shared" si="211"/>
        <v>169</v>
      </c>
      <c r="E970" s="285">
        <f t="shared" si="212"/>
        <v>0</v>
      </c>
      <c r="F970" s="285">
        <f t="shared" si="212"/>
        <v>0</v>
      </c>
      <c r="G970" s="285">
        <f t="shared" si="212"/>
        <v>169</v>
      </c>
      <c r="H970" s="285">
        <f t="shared" si="212"/>
        <v>0</v>
      </c>
      <c r="I970" s="285">
        <f t="shared" si="212"/>
        <v>0</v>
      </c>
      <c r="J970" s="324">
        <f t="shared" si="207"/>
        <v>100</v>
      </c>
      <c r="K970" s="294" t="s">
        <v>3555</v>
      </c>
      <c r="L970" s="44">
        <v>1</v>
      </c>
      <c r="M970" s="308" t="s">
        <v>2970</v>
      </c>
      <c r="N970" s="308"/>
      <c r="O970" s="308" t="s">
        <v>752</v>
      </c>
      <c r="P970" s="309" t="s">
        <v>4254</v>
      </c>
    </row>
    <row r="971" s="106" customFormat="1" ht="20.1" customHeight="1" spans="1:16">
      <c r="A971" s="279" t="s">
        <v>2979</v>
      </c>
      <c r="B971" s="41" t="s">
        <v>2980</v>
      </c>
      <c r="C971" s="287">
        <v>0</v>
      </c>
      <c r="D971" s="288">
        <f t="shared" si="211"/>
        <v>0</v>
      </c>
      <c r="E971" s="287"/>
      <c r="F971" s="287"/>
      <c r="G971" s="287"/>
      <c r="H971" s="287"/>
      <c r="I971" s="302"/>
      <c r="J971" s="303">
        <f t="shared" si="207"/>
        <v>0</v>
      </c>
      <c r="K971" s="294" t="s">
        <v>3555</v>
      </c>
      <c r="L971" s="44">
        <v>1</v>
      </c>
      <c r="M971" s="308" t="s">
        <v>2972</v>
      </c>
      <c r="N971" s="308"/>
      <c r="O971" s="308" t="s">
        <v>752</v>
      </c>
      <c r="P971" s="309" t="s">
        <v>4255</v>
      </c>
    </row>
    <row r="972" s="106" customFormat="1" ht="20.1" customHeight="1" spans="1:16">
      <c r="A972" s="279" t="s">
        <v>2981</v>
      </c>
      <c r="B972" s="41" t="s">
        <v>2982</v>
      </c>
      <c r="C972" s="287"/>
      <c r="D972" s="288">
        <f t="shared" si="211"/>
        <v>169</v>
      </c>
      <c r="E972" s="287"/>
      <c r="F972" s="287"/>
      <c r="G972" s="287">
        <v>169</v>
      </c>
      <c r="H972" s="287"/>
      <c r="I972" s="302"/>
      <c r="J972" s="303">
        <f t="shared" si="207"/>
        <v>100</v>
      </c>
      <c r="K972" s="294" t="s">
        <v>3555</v>
      </c>
      <c r="L972" s="44">
        <v>1</v>
      </c>
      <c r="M972" s="308" t="s">
        <v>2974</v>
      </c>
      <c r="N972" s="308"/>
      <c r="O972" s="308" t="s">
        <v>752</v>
      </c>
      <c r="P972" s="309" t="s">
        <v>4256</v>
      </c>
    </row>
    <row r="973" s="106" customFormat="1" ht="20.1" customHeight="1" spans="1:16">
      <c r="A973" s="283" t="s">
        <v>756</v>
      </c>
      <c r="B973" s="323" t="s">
        <v>2983</v>
      </c>
      <c r="C973" s="285">
        <f t="shared" ref="C973:I973" si="213">SUM(C974:C975)</f>
        <v>1760</v>
      </c>
      <c r="D973" s="285">
        <f t="shared" si="211"/>
        <v>1003</v>
      </c>
      <c r="E973" s="285">
        <f t="shared" si="213"/>
        <v>0</v>
      </c>
      <c r="F973" s="285">
        <f t="shared" si="213"/>
        <v>0</v>
      </c>
      <c r="G973" s="285">
        <f t="shared" si="213"/>
        <v>1000</v>
      </c>
      <c r="H973" s="285">
        <f t="shared" si="213"/>
        <v>0</v>
      </c>
      <c r="I973" s="285">
        <f t="shared" si="213"/>
        <v>3</v>
      </c>
      <c r="J973" s="324">
        <f t="shared" si="207"/>
        <v>56.99</v>
      </c>
      <c r="K973" s="294" t="s">
        <v>3555</v>
      </c>
      <c r="L973" s="44">
        <v>1</v>
      </c>
      <c r="M973" s="308" t="s">
        <v>2976</v>
      </c>
      <c r="N973" s="308"/>
      <c r="O973" s="308" t="s">
        <v>752</v>
      </c>
      <c r="P973" s="309" t="s">
        <v>4257</v>
      </c>
    </row>
    <row r="974" s="107" customFormat="1" ht="20.1" customHeight="1" spans="1:16">
      <c r="A974" s="279" t="s">
        <v>2984</v>
      </c>
      <c r="B974" s="41" t="s">
        <v>2985</v>
      </c>
      <c r="C974" s="287">
        <v>0</v>
      </c>
      <c r="D974" s="288">
        <f t="shared" si="211"/>
        <v>0</v>
      </c>
      <c r="E974" s="287"/>
      <c r="F974" s="287"/>
      <c r="G974" s="287"/>
      <c r="H974" s="287"/>
      <c r="I974" s="302"/>
      <c r="J974" s="303">
        <f t="shared" si="207"/>
        <v>0</v>
      </c>
      <c r="K974" s="300" t="s">
        <v>3551</v>
      </c>
      <c r="L974" s="301"/>
      <c r="M974" s="312" t="s">
        <v>754</v>
      </c>
      <c r="N974" s="312" t="s">
        <v>740</v>
      </c>
      <c r="O974" s="312" t="s">
        <v>754</v>
      </c>
      <c r="P974" s="313" t="s">
        <v>4258</v>
      </c>
    </row>
    <row r="975" s="106" customFormat="1" ht="20.1" customHeight="1" spans="1:16">
      <c r="A975" s="279" t="s">
        <v>2986</v>
      </c>
      <c r="B975" s="41" t="s">
        <v>757</v>
      </c>
      <c r="C975" s="287">
        <v>1760</v>
      </c>
      <c r="D975" s="288">
        <f t="shared" si="211"/>
        <v>1003</v>
      </c>
      <c r="E975" s="287"/>
      <c r="F975" s="287"/>
      <c r="G975" s="287">
        <v>1000</v>
      </c>
      <c r="H975" s="287"/>
      <c r="I975" s="302">
        <v>3</v>
      </c>
      <c r="J975" s="303">
        <f t="shared" si="207"/>
        <v>56.99</v>
      </c>
      <c r="K975" s="294" t="s">
        <v>3555</v>
      </c>
      <c r="L975" s="44">
        <v>1</v>
      </c>
      <c r="M975" s="308" t="s">
        <v>2979</v>
      </c>
      <c r="N975" s="308"/>
      <c r="O975" s="308" t="s">
        <v>754</v>
      </c>
      <c r="P975" s="309" t="s">
        <v>4259</v>
      </c>
    </row>
    <row r="976" s="106" customFormat="1" ht="20.1" customHeight="1" spans="1:16">
      <c r="A976" s="280" t="s">
        <v>758</v>
      </c>
      <c r="B976" s="281" t="s">
        <v>759</v>
      </c>
      <c r="C976" s="282">
        <f t="shared" ref="C976:I976" si="214">C977+C998+C1008+C1018+C1025</f>
        <v>2394</v>
      </c>
      <c r="D976" s="282">
        <f t="shared" si="211"/>
        <v>5106</v>
      </c>
      <c r="E976" s="282">
        <f t="shared" si="214"/>
        <v>292</v>
      </c>
      <c r="F976" s="282">
        <f t="shared" si="214"/>
        <v>66</v>
      </c>
      <c r="G976" s="282">
        <f t="shared" si="214"/>
        <v>2392</v>
      </c>
      <c r="H976" s="282">
        <f t="shared" si="214"/>
        <v>0</v>
      </c>
      <c r="I976" s="282">
        <f t="shared" si="214"/>
        <v>2356</v>
      </c>
      <c r="J976" s="296">
        <f t="shared" si="207"/>
        <v>213.28</v>
      </c>
      <c r="K976" s="294" t="s">
        <v>3555</v>
      </c>
      <c r="L976" s="44">
        <v>1</v>
      </c>
      <c r="M976" s="308" t="s">
        <v>2981</v>
      </c>
      <c r="N976" s="308"/>
      <c r="O976" s="308" t="s">
        <v>754</v>
      </c>
      <c r="P976" s="309" t="s">
        <v>4260</v>
      </c>
    </row>
    <row r="977" s="107" customFormat="1" ht="20.1" customHeight="1" spans="1:16">
      <c r="A977" s="283" t="s">
        <v>760</v>
      </c>
      <c r="B977" s="323" t="s">
        <v>2987</v>
      </c>
      <c r="C977" s="285">
        <f t="shared" ref="C977:I977" si="215">SUM(C978:C997)</f>
        <v>2383</v>
      </c>
      <c r="D977" s="285">
        <f t="shared" si="211"/>
        <v>4669</v>
      </c>
      <c r="E977" s="285">
        <f t="shared" si="215"/>
        <v>292</v>
      </c>
      <c r="F977" s="285">
        <f t="shared" si="215"/>
        <v>66</v>
      </c>
      <c r="G977" s="285">
        <f t="shared" si="215"/>
        <v>1955</v>
      </c>
      <c r="H977" s="285">
        <f t="shared" si="215"/>
        <v>0</v>
      </c>
      <c r="I977" s="285">
        <f t="shared" si="215"/>
        <v>2356</v>
      </c>
      <c r="J977" s="324">
        <f t="shared" si="207"/>
        <v>195.93</v>
      </c>
      <c r="K977" s="300" t="s">
        <v>3551</v>
      </c>
      <c r="L977" s="301"/>
      <c r="M977" s="312" t="s">
        <v>756</v>
      </c>
      <c r="N977" s="312" t="s">
        <v>740</v>
      </c>
      <c r="O977" s="312" t="s">
        <v>756</v>
      </c>
      <c r="P977" s="313" t="s">
        <v>4261</v>
      </c>
    </row>
    <row r="978" s="106" customFormat="1" ht="20.1" customHeight="1" spans="1:16">
      <c r="A978" s="279" t="s">
        <v>2988</v>
      </c>
      <c r="B978" s="41" t="s">
        <v>1458</v>
      </c>
      <c r="C978" s="287">
        <v>435</v>
      </c>
      <c r="D978" s="288">
        <f t="shared" si="211"/>
        <v>37</v>
      </c>
      <c r="E978" s="287"/>
      <c r="F978" s="287"/>
      <c r="G978" s="287"/>
      <c r="H978" s="287"/>
      <c r="I978" s="302">
        <v>37</v>
      </c>
      <c r="J978" s="303">
        <f t="shared" si="207"/>
        <v>8.51</v>
      </c>
      <c r="K978" s="294" t="s">
        <v>3555</v>
      </c>
      <c r="L978" s="44">
        <v>1</v>
      </c>
      <c r="M978" s="308" t="s">
        <v>2984</v>
      </c>
      <c r="N978" s="308"/>
      <c r="O978" s="308" t="s">
        <v>756</v>
      </c>
      <c r="P978" s="309" t="s">
        <v>4262</v>
      </c>
    </row>
    <row r="979" s="106" customFormat="1" ht="20.1" customHeight="1" spans="1:16">
      <c r="A979" s="279" t="s">
        <v>2989</v>
      </c>
      <c r="B979" s="41" t="s">
        <v>1460</v>
      </c>
      <c r="C979" s="287"/>
      <c r="D979" s="288">
        <f t="shared" si="211"/>
        <v>0</v>
      </c>
      <c r="E979" s="287"/>
      <c r="F979" s="287"/>
      <c r="G979" s="287"/>
      <c r="H979" s="287"/>
      <c r="I979" s="302"/>
      <c r="J979" s="303">
        <f t="shared" si="207"/>
        <v>0</v>
      </c>
      <c r="K979" s="294" t="s">
        <v>3555</v>
      </c>
      <c r="L979" s="44">
        <v>1</v>
      </c>
      <c r="M979" s="308" t="s">
        <v>2986</v>
      </c>
      <c r="N979" s="308"/>
      <c r="O979" s="308" t="s">
        <v>756</v>
      </c>
      <c r="P979" s="309" t="s">
        <v>4261</v>
      </c>
    </row>
    <row r="980" s="107" customFormat="1" ht="20.1" customHeight="1" spans="1:16">
      <c r="A980" s="279" t="s">
        <v>2990</v>
      </c>
      <c r="B980" s="41" t="s">
        <v>1462</v>
      </c>
      <c r="C980" s="287"/>
      <c r="D980" s="288">
        <f t="shared" si="211"/>
        <v>0</v>
      </c>
      <c r="E980" s="287"/>
      <c r="F980" s="287"/>
      <c r="G980" s="287"/>
      <c r="H980" s="287"/>
      <c r="I980" s="302"/>
      <c r="J980" s="303">
        <f t="shared" si="207"/>
        <v>0</v>
      </c>
      <c r="K980" s="297" t="s">
        <v>3550</v>
      </c>
      <c r="L980" s="298"/>
      <c r="M980" s="310" t="s">
        <v>758</v>
      </c>
      <c r="N980" s="310" t="s">
        <v>758</v>
      </c>
      <c r="O980" s="310" t="s">
        <v>758</v>
      </c>
      <c r="P980" s="311" t="s">
        <v>4263</v>
      </c>
    </row>
    <row r="981" s="107" customFormat="1" ht="20.1" customHeight="1" spans="1:16">
      <c r="A981" s="279" t="s">
        <v>2991</v>
      </c>
      <c r="B981" s="41" t="s">
        <v>2992</v>
      </c>
      <c r="C981" s="287">
        <v>1164</v>
      </c>
      <c r="D981" s="288">
        <f t="shared" si="211"/>
        <v>752</v>
      </c>
      <c r="E981" s="287"/>
      <c r="F981" s="287"/>
      <c r="G981" s="287">
        <v>752</v>
      </c>
      <c r="H981" s="287"/>
      <c r="I981" s="302"/>
      <c r="J981" s="303">
        <f t="shared" si="207"/>
        <v>64.6</v>
      </c>
      <c r="K981" s="300" t="s">
        <v>3551</v>
      </c>
      <c r="L981" s="301"/>
      <c r="M981" s="312" t="s">
        <v>760</v>
      </c>
      <c r="N981" s="312" t="s">
        <v>758</v>
      </c>
      <c r="O981" s="312" t="s">
        <v>760</v>
      </c>
      <c r="P981" s="313" t="s">
        <v>4264</v>
      </c>
    </row>
    <row r="982" s="106" customFormat="1" ht="20.1" customHeight="1" spans="1:16">
      <c r="A982" s="279" t="s">
        <v>2993</v>
      </c>
      <c r="B982" s="41" t="s">
        <v>2994</v>
      </c>
      <c r="C982" s="287">
        <v>411</v>
      </c>
      <c r="D982" s="288">
        <f t="shared" si="211"/>
        <v>3617</v>
      </c>
      <c r="E982" s="287">
        <v>292</v>
      </c>
      <c r="F982" s="287"/>
      <c r="G982" s="287">
        <v>1049</v>
      </c>
      <c r="H982" s="287"/>
      <c r="I982" s="302">
        <v>2276</v>
      </c>
      <c r="J982" s="303">
        <f t="shared" si="207"/>
        <v>880.05</v>
      </c>
      <c r="K982" s="294" t="s">
        <v>3555</v>
      </c>
      <c r="L982" s="44">
        <v>1</v>
      </c>
      <c r="M982" s="308" t="s">
        <v>2988</v>
      </c>
      <c r="N982" s="308"/>
      <c r="O982" s="308" t="s">
        <v>760</v>
      </c>
      <c r="P982" s="314" t="s">
        <v>3556</v>
      </c>
    </row>
    <row r="983" s="106" customFormat="1" ht="20.1" customHeight="1" spans="1:16">
      <c r="A983" s="279" t="s">
        <v>2995</v>
      </c>
      <c r="B983" s="41" t="s">
        <v>2996</v>
      </c>
      <c r="C983" s="287"/>
      <c r="D983" s="288">
        <f t="shared" si="211"/>
        <v>0</v>
      </c>
      <c r="E983" s="287"/>
      <c r="F983" s="287"/>
      <c r="G983" s="287"/>
      <c r="H983" s="287"/>
      <c r="I983" s="302"/>
      <c r="J983" s="303">
        <f t="shared" si="207"/>
        <v>0</v>
      </c>
      <c r="K983" s="294" t="s">
        <v>3555</v>
      </c>
      <c r="L983" s="44">
        <v>1</v>
      </c>
      <c r="M983" s="308" t="s">
        <v>2989</v>
      </c>
      <c r="N983" s="308"/>
      <c r="O983" s="308" t="s">
        <v>760</v>
      </c>
      <c r="P983" s="314" t="s">
        <v>3557</v>
      </c>
    </row>
    <row r="984" s="106" customFormat="1" ht="20.1" customHeight="1" spans="1:16">
      <c r="A984" s="279" t="s">
        <v>2997</v>
      </c>
      <c r="B984" s="41" t="s">
        <v>2998</v>
      </c>
      <c r="C984" s="287"/>
      <c r="D984" s="288">
        <f t="shared" si="211"/>
        <v>10</v>
      </c>
      <c r="E984" s="287"/>
      <c r="F984" s="287"/>
      <c r="G984" s="287">
        <v>10</v>
      </c>
      <c r="H984" s="287"/>
      <c r="I984" s="302"/>
      <c r="J984" s="303">
        <f t="shared" si="207"/>
        <v>100</v>
      </c>
      <c r="K984" s="294" t="s">
        <v>3555</v>
      </c>
      <c r="L984" s="44">
        <v>1</v>
      </c>
      <c r="M984" s="308" t="s">
        <v>2990</v>
      </c>
      <c r="N984" s="308"/>
      <c r="O984" s="308" t="s">
        <v>760</v>
      </c>
      <c r="P984" s="314" t="s">
        <v>3558</v>
      </c>
    </row>
    <row r="985" s="106" customFormat="1" ht="20.1" customHeight="1" spans="1:16">
      <c r="A985" s="279" t="s">
        <v>2999</v>
      </c>
      <c r="B985" s="41" t="s">
        <v>3000</v>
      </c>
      <c r="C985" s="287">
        <v>2</v>
      </c>
      <c r="D985" s="288">
        <f t="shared" si="211"/>
        <v>0</v>
      </c>
      <c r="E985" s="287"/>
      <c r="F985" s="287"/>
      <c r="G985" s="287"/>
      <c r="H985" s="287"/>
      <c r="I985" s="302"/>
      <c r="J985" s="303">
        <f t="shared" si="207"/>
        <v>-100</v>
      </c>
      <c r="K985" s="294" t="s">
        <v>3555</v>
      </c>
      <c r="L985" s="44">
        <v>1</v>
      </c>
      <c r="M985" s="308" t="s">
        <v>2991</v>
      </c>
      <c r="N985" s="308"/>
      <c r="O985" s="308" t="s">
        <v>760</v>
      </c>
      <c r="P985" s="309" t="s">
        <v>4265</v>
      </c>
    </row>
    <row r="986" s="106" customFormat="1" ht="20.1" customHeight="1" spans="1:16">
      <c r="A986" s="279" t="s">
        <v>3001</v>
      </c>
      <c r="B986" s="41" t="s">
        <v>3002</v>
      </c>
      <c r="C986" s="287"/>
      <c r="D986" s="288">
        <f t="shared" si="211"/>
        <v>0</v>
      </c>
      <c r="E986" s="287"/>
      <c r="F986" s="287"/>
      <c r="G986" s="287"/>
      <c r="H986" s="287"/>
      <c r="I986" s="302"/>
      <c r="J986" s="303">
        <f t="shared" si="207"/>
        <v>0</v>
      </c>
      <c r="K986" s="294" t="s">
        <v>3555</v>
      </c>
      <c r="L986" s="44">
        <v>1</v>
      </c>
      <c r="M986" s="308" t="s">
        <v>2993</v>
      </c>
      <c r="N986" s="308"/>
      <c r="O986" s="308" t="s">
        <v>760</v>
      </c>
      <c r="P986" s="314" t="s">
        <v>4266</v>
      </c>
    </row>
    <row r="987" s="106" customFormat="1" ht="20.1" customHeight="1" spans="1:16">
      <c r="A987" s="279" t="s">
        <v>3003</v>
      </c>
      <c r="B987" s="41" t="s">
        <v>3004</v>
      </c>
      <c r="C987" s="287"/>
      <c r="D987" s="288">
        <f t="shared" si="211"/>
        <v>0</v>
      </c>
      <c r="E987" s="287"/>
      <c r="F987" s="287"/>
      <c r="G987" s="287"/>
      <c r="H987" s="287"/>
      <c r="I987" s="302"/>
      <c r="J987" s="303">
        <f t="shared" si="207"/>
        <v>0</v>
      </c>
      <c r="K987" s="294" t="s">
        <v>3555</v>
      </c>
      <c r="L987" s="44">
        <v>1</v>
      </c>
      <c r="M987" s="308" t="s">
        <v>2995</v>
      </c>
      <c r="N987" s="308"/>
      <c r="O987" s="308" t="s">
        <v>760</v>
      </c>
      <c r="P987" s="309" t="s">
        <v>4267</v>
      </c>
    </row>
    <row r="988" s="106" customFormat="1" ht="20.1" customHeight="1" spans="1:16">
      <c r="A988" s="279" t="s">
        <v>3005</v>
      </c>
      <c r="B988" s="41" t="s">
        <v>3006</v>
      </c>
      <c r="C988" s="287"/>
      <c r="D988" s="288">
        <f t="shared" si="211"/>
        <v>0</v>
      </c>
      <c r="E988" s="287"/>
      <c r="F988" s="287"/>
      <c r="G988" s="287"/>
      <c r="H988" s="287"/>
      <c r="I988" s="302"/>
      <c r="J988" s="303">
        <f t="shared" si="207"/>
        <v>0</v>
      </c>
      <c r="K988" s="294" t="s">
        <v>3555</v>
      </c>
      <c r="L988" s="44">
        <v>1</v>
      </c>
      <c r="M988" s="308" t="s">
        <v>2997</v>
      </c>
      <c r="N988" s="308"/>
      <c r="O988" s="308" t="s">
        <v>760</v>
      </c>
      <c r="P988" s="309" t="s">
        <v>4268</v>
      </c>
    </row>
    <row r="989" s="106" customFormat="1" ht="20.1" customHeight="1" spans="1:16">
      <c r="A989" s="279" t="s">
        <v>3007</v>
      </c>
      <c r="B989" s="41" t="s">
        <v>3008</v>
      </c>
      <c r="C989" s="287"/>
      <c r="D989" s="288">
        <f t="shared" si="211"/>
        <v>0</v>
      </c>
      <c r="E989" s="287"/>
      <c r="F989" s="287"/>
      <c r="G989" s="287"/>
      <c r="H989" s="287"/>
      <c r="I989" s="302"/>
      <c r="J989" s="303">
        <f t="shared" si="207"/>
        <v>0</v>
      </c>
      <c r="K989" s="294" t="s">
        <v>3555</v>
      </c>
      <c r="L989" s="44">
        <v>1</v>
      </c>
      <c r="M989" s="308" t="s">
        <v>2999</v>
      </c>
      <c r="N989" s="308"/>
      <c r="O989" s="308" t="s">
        <v>760</v>
      </c>
      <c r="P989" s="309" t="s">
        <v>4269</v>
      </c>
    </row>
    <row r="990" s="106" customFormat="1" ht="20.1" customHeight="1" spans="1:16">
      <c r="A990" s="279" t="s">
        <v>3009</v>
      </c>
      <c r="B990" s="41" t="s">
        <v>3010</v>
      </c>
      <c r="C990" s="287"/>
      <c r="D990" s="288">
        <f t="shared" si="211"/>
        <v>0</v>
      </c>
      <c r="E990" s="287"/>
      <c r="F990" s="287"/>
      <c r="G990" s="287"/>
      <c r="H990" s="287"/>
      <c r="I990" s="302"/>
      <c r="J990" s="303">
        <f t="shared" si="207"/>
        <v>0</v>
      </c>
      <c r="K990" s="294" t="s">
        <v>3555</v>
      </c>
      <c r="L990" s="44">
        <v>1</v>
      </c>
      <c r="M990" s="308" t="s">
        <v>3001</v>
      </c>
      <c r="N990" s="308"/>
      <c r="O990" s="308" t="s">
        <v>760</v>
      </c>
      <c r="P990" s="309" t="s">
        <v>4270</v>
      </c>
    </row>
    <row r="991" s="106" customFormat="1" ht="20.1" customHeight="1" spans="1:16">
      <c r="A991" s="279" t="s">
        <v>3011</v>
      </c>
      <c r="B991" s="41" t="s">
        <v>3012</v>
      </c>
      <c r="C991" s="287"/>
      <c r="D991" s="288">
        <f t="shared" si="211"/>
        <v>0</v>
      </c>
      <c r="E991" s="287"/>
      <c r="F991" s="287"/>
      <c r="G991" s="287"/>
      <c r="H991" s="287"/>
      <c r="I991" s="302"/>
      <c r="J991" s="303">
        <f t="shared" si="207"/>
        <v>0</v>
      </c>
      <c r="K991" s="294" t="s">
        <v>3555</v>
      </c>
      <c r="L991" s="44">
        <v>1</v>
      </c>
      <c r="M991" s="308" t="s">
        <v>3003</v>
      </c>
      <c r="N991" s="308"/>
      <c r="O991" s="308" t="s">
        <v>760</v>
      </c>
      <c r="P991" s="314" t="s">
        <v>4271</v>
      </c>
    </row>
    <row r="992" s="106" customFormat="1" ht="20.1" customHeight="1" spans="1:16">
      <c r="A992" s="279" t="s">
        <v>3013</v>
      </c>
      <c r="B992" s="41" t="s">
        <v>3014</v>
      </c>
      <c r="C992" s="287"/>
      <c r="D992" s="288">
        <f t="shared" si="211"/>
        <v>0</v>
      </c>
      <c r="E992" s="287"/>
      <c r="F992" s="287"/>
      <c r="G992" s="287"/>
      <c r="H992" s="287"/>
      <c r="I992" s="302"/>
      <c r="J992" s="303">
        <f t="shared" si="207"/>
        <v>0</v>
      </c>
      <c r="K992" s="294" t="s">
        <v>3555</v>
      </c>
      <c r="L992" s="44">
        <v>1</v>
      </c>
      <c r="M992" s="308" t="s">
        <v>3005</v>
      </c>
      <c r="N992" s="308"/>
      <c r="O992" s="308" t="s">
        <v>760</v>
      </c>
      <c r="P992" s="309" t="s">
        <v>4272</v>
      </c>
    </row>
    <row r="993" s="106" customFormat="1" ht="20.1" customHeight="1" spans="1:16">
      <c r="A993" s="279" t="s">
        <v>3015</v>
      </c>
      <c r="B993" s="41" t="s">
        <v>3016</v>
      </c>
      <c r="C993" s="287"/>
      <c r="D993" s="288">
        <f t="shared" si="211"/>
        <v>0</v>
      </c>
      <c r="E993" s="287"/>
      <c r="F993" s="287"/>
      <c r="G993" s="287"/>
      <c r="H993" s="287"/>
      <c r="I993" s="302"/>
      <c r="J993" s="303">
        <f t="shared" si="207"/>
        <v>0</v>
      </c>
      <c r="K993" s="294" t="s">
        <v>3555</v>
      </c>
      <c r="L993" s="44">
        <v>1</v>
      </c>
      <c r="M993" s="308" t="s">
        <v>3007</v>
      </c>
      <c r="N993" s="308"/>
      <c r="O993" s="308" t="s">
        <v>760</v>
      </c>
      <c r="P993" s="309" t="s">
        <v>4273</v>
      </c>
    </row>
    <row r="994" s="106" customFormat="1" ht="20.1" customHeight="1" spans="1:16">
      <c r="A994" s="279" t="s">
        <v>3017</v>
      </c>
      <c r="B994" s="41" t="s">
        <v>3018</v>
      </c>
      <c r="C994" s="287"/>
      <c r="D994" s="288">
        <f t="shared" si="211"/>
        <v>0</v>
      </c>
      <c r="E994" s="287"/>
      <c r="F994" s="287"/>
      <c r="G994" s="287"/>
      <c r="H994" s="287"/>
      <c r="I994" s="302"/>
      <c r="J994" s="303">
        <f t="shared" si="207"/>
        <v>0</v>
      </c>
      <c r="K994" s="294" t="s">
        <v>3555</v>
      </c>
      <c r="L994" s="44">
        <v>1</v>
      </c>
      <c r="M994" s="308" t="s">
        <v>3009</v>
      </c>
      <c r="N994" s="308"/>
      <c r="O994" s="308" t="s">
        <v>760</v>
      </c>
      <c r="P994" s="309" t="s">
        <v>4274</v>
      </c>
    </row>
    <row r="995" s="106" customFormat="1" ht="20.1" customHeight="1" spans="1:16">
      <c r="A995" s="279" t="s">
        <v>3019</v>
      </c>
      <c r="B995" s="41" t="s">
        <v>3020</v>
      </c>
      <c r="C995" s="287"/>
      <c r="D995" s="288">
        <f t="shared" si="211"/>
        <v>0</v>
      </c>
      <c r="E995" s="287"/>
      <c r="F995" s="287"/>
      <c r="G995" s="287"/>
      <c r="H995" s="287"/>
      <c r="I995" s="302"/>
      <c r="J995" s="303">
        <f t="shared" si="207"/>
        <v>0</v>
      </c>
      <c r="K995" s="294" t="s">
        <v>3555</v>
      </c>
      <c r="L995" s="44">
        <v>1</v>
      </c>
      <c r="M995" s="308" t="s">
        <v>3011</v>
      </c>
      <c r="N995" s="308"/>
      <c r="O995" s="308" t="s">
        <v>760</v>
      </c>
      <c r="P995" s="309" t="s">
        <v>4275</v>
      </c>
    </row>
    <row r="996" s="106" customFormat="1" ht="20.1" customHeight="1" spans="1:16">
      <c r="A996" s="279" t="s">
        <v>3021</v>
      </c>
      <c r="B996" s="41" t="s">
        <v>3022</v>
      </c>
      <c r="C996" s="287"/>
      <c r="D996" s="288">
        <f t="shared" si="211"/>
        <v>0</v>
      </c>
      <c r="E996" s="287"/>
      <c r="F996" s="287"/>
      <c r="G996" s="287"/>
      <c r="H996" s="287"/>
      <c r="I996" s="302"/>
      <c r="J996" s="303">
        <f t="shared" si="207"/>
        <v>0</v>
      </c>
      <c r="K996" s="294" t="s">
        <v>3555</v>
      </c>
      <c r="L996" s="44">
        <v>1</v>
      </c>
      <c r="M996" s="308" t="s">
        <v>3013</v>
      </c>
      <c r="N996" s="308"/>
      <c r="O996" s="308" t="s">
        <v>760</v>
      </c>
      <c r="P996" s="309" t="s">
        <v>4276</v>
      </c>
    </row>
    <row r="997" s="106" customFormat="1" ht="20.1" customHeight="1" spans="1:16">
      <c r="A997" s="279" t="s">
        <v>3023</v>
      </c>
      <c r="B997" s="41" t="s">
        <v>3024</v>
      </c>
      <c r="C997" s="287">
        <v>371</v>
      </c>
      <c r="D997" s="288">
        <f t="shared" si="211"/>
        <v>253</v>
      </c>
      <c r="E997" s="287"/>
      <c r="F997" s="287">
        <v>66</v>
      </c>
      <c r="G997" s="287">
        <v>144</v>
      </c>
      <c r="H997" s="287"/>
      <c r="I997" s="302">
        <v>43</v>
      </c>
      <c r="J997" s="303">
        <f t="shared" si="207"/>
        <v>68.19</v>
      </c>
      <c r="K997" s="294" t="s">
        <v>3555</v>
      </c>
      <c r="L997" s="44">
        <v>1</v>
      </c>
      <c r="M997" s="308" t="s">
        <v>3015</v>
      </c>
      <c r="N997" s="308"/>
      <c r="O997" s="308" t="s">
        <v>760</v>
      </c>
      <c r="P997" s="309" t="s">
        <v>4277</v>
      </c>
    </row>
    <row r="998" s="106" customFormat="1" ht="20.1" customHeight="1" spans="1:16">
      <c r="A998" s="283" t="s">
        <v>762</v>
      </c>
      <c r="B998" s="323" t="s">
        <v>3025</v>
      </c>
      <c r="C998" s="285">
        <f t="shared" ref="C998:I998" si="216">SUM(C999:C1007)</f>
        <v>7</v>
      </c>
      <c r="D998" s="285">
        <f t="shared" si="211"/>
        <v>0</v>
      </c>
      <c r="E998" s="285">
        <f t="shared" si="216"/>
        <v>0</v>
      </c>
      <c r="F998" s="285">
        <f t="shared" si="216"/>
        <v>0</v>
      </c>
      <c r="G998" s="285">
        <f t="shared" si="216"/>
        <v>0</v>
      </c>
      <c r="H998" s="285">
        <f t="shared" si="216"/>
        <v>0</v>
      </c>
      <c r="I998" s="285">
        <f t="shared" si="216"/>
        <v>0</v>
      </c>
      <c r="J998" s="324">
        <f t="shared" si="207"/>
        <v>-100</v>
      </c>
      <c r="K998" s="294" t="s">
        <v>3555</v>
      </c>
      <c r="L998" s="44">
        <v>1</v>
      </c>
      <c r="M998" s="308" t="s">
        <v>3017</v>
      </c>
      <c r="N998" s="308"/>
      <c r="O998" s="308" t="s">
        <v>760</v>
      </c>
      <c r="P998" s="309" t="s">
        <v>4278</v>
      </c>
    </row>
    <row r="999" s="106" customFormat="1" ht="20.1" customHeight="1" spans="1:16">
      <c r="A999" s="279" t="s">
        <v>3026</v>
      </c>
      <c r="B999" s="41" t="s">
        <v>1458</v>
      </c>
      <c r="C999" s="287">
        <v>7</v>
      </c>
      <c r="D999" s="288">
        <f t="shared" si="211"/>
        <v>0</v>
      </c>
      <c r="E999" s="287"/>
      <c r="F999" s="287"/>
      <c r="G999" s="287"/>
      <c r="H999" s="287"/>
      <c r="I999" s="302"/>
      <c r="J999" s="303">
        <f t="shared" si="207"/>
        <v>-100</v>
      </c>
      <c r="K999" s="294" t="s">
        <v>3555</v>
      </c>
      <c r="L999" s="44">
        <v>1</v>
      </c>
      <c r="M999" s="308" t="s">
        <v>3019</v>
      </c>
      <c r="N999" s="308"/>
      <c r="O999" s="308" t="s">
        <v>760</v>
      </c>
      <c r="P999" s="309" t="s">
        <v>4279</v>
      </c>
    </row>
    <row r="1000" s="106" customFormat="1" ht="20.1" customHeight="1" spans="1:16">
      <c r="A1000" s="279" t="s">
        <v>3027</v>
      </c>
      <c r="B1000" s="41" t="s">
        <v>1460</v>
      </c>
      <c r="C1000" s="287"/>
      <c r="D1000" s="288">
        <f t="shared" si="211"/>
        <v>0</v>
      </c>
      <c r="E1000" s="287"/>
      <c r="F1000" s="287"/>
      <c r="G1000" s="287"/>
      <c r="H1000" s="287"/>
      <c r="I1000" s="302"/>
      <c r="J1000" s="303">
        <f t="shared" si="207"/>
        <v>0</v>
      </c>
      <c r="K1000" s="294" t="s">
        <v>3555</v>
      </c>
      <c r="L1000" s="44">
        <v>1</v>
      </c>
      <c r="M1000" s="308" t="s">
        <v>3021</v>
      </c>
      <c r="N1000" s="308"/>
      <c r="O1000" s="308" t="s">
        <v>760</v>
      </c>
      <c r="P1000" s="309" t="s">
        <v>4280</v>
      </c>
    </row>
    <row r="1001" s="106" customFormat="1" ht="20.1" customHeight="1" spans="1:16">
      <c r="A1001" s="279" t="s">
        <v>3028</v>
      </c>
      <c r="B1001" s="41" t="s">
        <v>1462</v>
      </c>
      <c r="C1001" s="287">
        <v>0</v>
      </c>
      <c r="D1001" s="288">
        <f t="shared" si="211"/>
        <v>0</v>
      </c>
      <c r="E1001" s="287"/>
      <c r="F1001" s="287"/>
      <c r="G1001" s="287"/>
      <c r="H1001" s="287"/>
      <c r="I1001" s="302"/>
      <c r="J1001" s="303">
        <f t="shared" si="207"/>
        <v>0</v>
      </c>
      <c r="K1001" s="294" t="s">
        <v>3555</v>
      </c>
      <c r="L1001" s="44">
        <v>1</v>
      </c>
      <c r="M1001" s="308" t="s">
        <v>3023</v>
      </c>
      <c r="N1001" s="308"/>
      <c r="O1001" s="308" t="s">
        <v>760</v>
      </c>
      <c r="P1001" s="309" t="s">
        <v>4281</v>
      </c>
    </row>
    <row r="1002" s="107" customFormat="1" ht="20.1" customHeight="1" spans="1:16">
      <c r="A1002" s="279" t="s">
        <v>3029</v>
      </c>
      <c r="B1002" s="41" t="s">
        <v>3030</v>
      </c>
      <c r="C1002" s="287">
        <v>0</v>
      </c>
      <c r="D1002" s="288">
        <f t="shared" si="211"/>
        <v>0</v>
      </c>
      <c r="E1002" s="287"/>
      <c r="F1002" s="287"/>
      <c r="G1002" s="287"/>
      <c r="H1002" s="287"/>
      <c r="I1002" s="302"/>
      <c r="J1002" s="303">
        <f t="shared" si="207"/>
        <v>0</v>
      </c>
      <c r="K1002" s="300" t="s">
        <v>3551</v>
      </c>
      <c r="L1002" s="301"/>
      <c r="M1002" s="312" t="s">
        <v>762</v>
      </c>
      <c r="N1002" s="312" t="s">
        <v>758</v>
      </c>
      <c r="O1002" s="312" t="s">
        <v>762</v>
      </c>
      <c r="P1002" s="313" t="s">
        <v>4282</v>
      </c>
    </row>
    <row r="1003" s="106" customFormat="1" ht="20.1" customHeight="1" spans="1:16">
      <c r="A1003" s="279" t="s">
        <v>3031</v>
      </c>
      <c r="B1003" s="41" t="s">
        <v>3032</v>
      </c>
      <c r="C1003" s="287">
        <v>0</v>
      </c>
      <c r="D1003" s="288">
        <f t="shared" si="211"/>
        <v>0</v>
      </c>
      <c r="E1003" s="287"/>
      <c r="F1003" s="287"/>
      <c r="G1003" s="287"/>
      <c r="H1003" s="287"/>
      <c r="I1003" s="302"/>
      <c r="J1003" s="303">
        <f t="shared" si="207"/>
        <v>0</v>
      </c>
      <c r="K1003" s="294" t="s">
        <v>3555</v>
      </c>
      <c r="L1003" s="44">
        <v>1</v>
      </c>
      <c r="M1003" s="308" t="s">
        <v>3026</v>
      </c>
      <c r="N1003" s="308"/>
      <c r="O1003" s="308" t="s">
        <v>762</v>
      </c>
      <c r="P1003" s="314" t="s">
        <v>3556</v>
      </c>
    </row>
    <row r="1004" s="106" customFormat="1" ht="20.1" customHeight="1" spans="1:16">
      <c r="A1004" s="279" t="s">
        <v>3033</v>
      </c>
      <c r="B1004" s="41" t="s">
        <v>3034</v>
      </c>
      <c r="C1004" s="287">
        <v>0</v>
      </c>
      <c r="D1004" s="288">
        <f t="shared" si="211"/>
        <v>0</v>
      </c>
      <c r="E1004" s="287"/>
      <c r="F1004" s="287"/>
      <c r="G1004" s="287"/>
      <c r="H1004" s="287"/>
      <c r="I1004" s="302"/>
      <c r="J1004" s="303">
        <f t="shared" si="207"/>
        <v>0</v>
      </c>
      <c r="K1004" s="294" t="s">
        <v>3555</v>
      </c>
      <c r="L1004" s="44">
        <v>1</v>
      </c>
      <c r="M1004" s="308" t="s">
        <v>3027</v>
      </c>
      <c r="N1004" s="308"/>
      <c r="O1004" s="308" t="s">
        <v>762</v>
      </c>
      <c r="P1004" s="314" t="s">
        <v>3557</v>
      </c>
    </row>
    <row r="1005" s="106" customFormat="1" ht="20.1" customHeight="1" spans="1:16">
      <c r="A1005" s="279" t="s">
        <v>3035</v>
      </c>
      <c r="B1005" s="41" t="s">
        <v>3036</v>
      </c>
      <c r="C1005" s="287">
        <v>0</v>
      </c>
      <c r="D1005" s="288">
        <f t="shared" si="211"/>
        <v>0</v>
      </c>
      <c r="E1005" s="287"/>
      <c r="F1005" s="287"/>
      <c r="G1005" s="287"/>
      <c r="H1005" s="287"/>
      <c r="I1005" s="302"/>
      <c r="J1005" s="303">
        <f t="shared" si="207"/>
        <v>0</v>
      </c>
      <c r="K1005" s="294" t="s">
        <v>3555</v>
      </c>
      <c r="L1005" s="44">
        <v>1</v>
      </c>
      <c r="M1005" s="308" t="s">
        <v>3028</v>
      </c>
      <c r="N1005" s="308"/>
      <c r="O1005" s="308" t="s">
        <v>762</v>
      </c>
      <c r="P1005" s="314" t="s">
        <v>3558</v>
      </c>
    </row>
    <row r="1006" s="106" customFormat="1" ht="20.1" customHeight="1" spans="1:16">
      <c r="A1006" s="279" t="s">
        <v>3037</v>
      </c>
      <c r="B1006" s="41" t="s">
        <v>3038</v>
      </c>
      <c r="C1006" s="287">
        <v>0</v>
      </c>
      <c r="D1006" s="288">
        <f t="shared" si="211"/>
        <v>0</v>
      </c>
      <c r="E1006" s="287"/>
      <c r="F1006" s="287"/>
      <c r="G1006" s="287"/>
      <c r="H1006" s="287"/>
      <c r="I1006" s="302"/>
      <c r="J1006" s="303">
        <f t="shared" si="207"/>
        <v>0</v>
      </c>
      <c r="K1006" s="294" t="s">
        <v>3555</v>
      </c>
      <c r="L1006" s="44">
        <v>1</v>
      </c>
      <c r="M1006" s="308" t="s">
        <v>3029</v>
      </c>
      <c r="N1006" s="308"/>
      <c r="O1006" s="308" t="s">
        <v>762</v>
      </c>
      <c r="P1006" s="309" t="s">
        <v>4283</v>
      </c>
    </row>
    <row r="1007" s="106" customFormat="1" ht="20.1" customHeight="1" spans="1:16">
      <c r="A1007" s="279" t="s">
        <v>3039</v>
      </c>
      <c r="B1007" s="41" t="s">
        <v>3040</v>
      </c>
      <c r="C1007" s="287">
        <v>0</v>
      </c>
      <c r="D1007" s="288">
        <f t="shared" si="211"/>
        <v>0</v>
      </c>
      <c r="E1007" s="287"/>
      <c r="F1007" s="287"/>
      <c r="G1007" s="287"/>
      <c r="H1007" s="287"/>
      <c r="I1007" s="302"/>
      <c r="J1007" s="303">
        <f t="shared" si="207"/>
        <v>0</v>
      </c>
      <c r="K1007" s="294" t="s">
        <v>3555</v>
      </c>
      <c r="L1007" s="44">
        <v>1</v>
      </c>
      <c r="M1007" s="308" t="s">
        <v>3031</v>
      </c>
      <c r="N1007" s="308"/>
      <c r="O1007" s="308" t="s">
        <v>762</v>
      </c>
      <c r="P1007" s="309" t="s">
        <v>4284</v>
      </c>
    </row>
    <row r="1008" s="106" customFormat="1" ht="20.1" customHeight="1" spans="1:16">
      <c r="A1008" s="283" t="s">
        <v>764</v>
      </c>
      <c r="B1008" s="323" t="s">
        <v>3041</v>
      </c>
      <c r="C1008" s="285">
        <v>0</v>
      </c>
      <c r="D1008" s="285">
        <f t="shared" si="211"/>
        <v>0</v>
      </c>
      <c r="E1008" s="285">
        <f t="shared" ref="E1008:H1008" si="217">SUM(E1009:E1017)</f>
        <v>0</v>
      </c>
      <c r="F1008" s="285">
        <f t="shared" si="217"/>
        <v>0</v>
      </c>
      <c r="G1008" s="285">
        <f>VLOOKUP(A1008,[1]√表四、2025年公共财政支出变动表!$A$8:$S$221,18,FALSE)</f>
        <v>0</v>
      </c>
      <c r="H1008" s="285">
        <f t="shared" si="217"/>
        <v>0</v>
      </c>
      <c r="I1008" s="285"/>
      <c r="J1008" s="324">
        <f t="shared" si="207"/>
        <v>0</v>
      </c>
      <c r="K1008" s="294" t="s">
        <v>3555</v>
      </c>
      <c r="L1008" s="44">
        <v>1</v>
      </c>
      <c r="M1008" s="308" t="s">
        <v>3033</v>
      </c>
      <c r="N1008" s="308"/>
      <c r="O1008" s="308" t="s">
        <v>762</v>
      </c>
      <c r="P1008" s="309" t="s">
        <v>4285</v>
      </c>
    </row>
    <row r="1009" s="106" customFormat="1" ht="20.1" customHeight="1" spans="1:16">
      <c r="A1009" s="279" t="s">
        <v>3042</v>
      </c>
      <c r="B1009" s="41" t="s">
        <v>1458</v>
      </c>
      <c r="C1009" s="287">
        <v>0</v>
      </c>
      <c r="D1009" s="288">
        <f t="shared" si="211"/>
        <v>0</v>
      </c>
      <c r="E1009" s="287"/>
      <c r="F1009" s="287"/>
      <c r="G1009" s="287"/>
      <c r="H1009" s="287"/>
      <c r="I1009" s="302"/>
      <c r="J1009" s="303">
        <f t="shared" si="207"/>
        <v>0</v>
      </c>
      <c r="K1009" s="294" t="s">
        <v>3555</v>
      </c>
      <c r="L1009" s="44">
        <v>1</v>
      </c>
      <c r="M1009" s="308" t="s">
        <v>3035</v>
      </c>
      <c r="N1009" s="308"/>
      <c r="O1009" s="308" t="s">
        <v>762</v>
      </c>
      <c r="P1009" s="309" t="s">
        <v>4286</v>
      </c>
    </row>
    <row r="1010" s="106" customFormat="1" ht="20.1" customHeight="1" spans="1:16">
      <c r="A1010" s="279" t="s">
        <v>3043</v>
      </c>
      <c r="B1010" s="41" t="s">
        <v>1460</v>
      </c>
      <c r="C1010" s="287">
        <v>0</v>
      </c>
      <c r="D1010" s="288">
        <f t="shared" si="211"/>
        <v>0</v>
      </c>
      <c r="E1010" s="287"/>
      <c r="F1010" s="287"/>
      <c r="G1010" s="287"/>
      <c r="H1010" s="287"/>
      <c r="I1010" s="302"/>
      <c r="J1010" s="303">
        <f t="shared" si="207"/>
        <v>0</v>
      </c>
      <c r="K1010" s="294" t="s">
        <v>3555</v>
      </c>
      <c r="L1010" s="44">
        <v>1</v>
      </c>
      <c r="M1010" s="308" t="s">
        <v>3037</v>
      </c>
      <c r="N1010" s="308"/>
      <c r="O1010" s="308" t="s">
        <v>762</v>
      </c>
      <c r="P1010" s="309" t="s">
        <v>4287</v>
      </c>
    </row>
    <row r="1011" s="106" customFormat="1" ht="20.1" customHeight="1" spans="1:16">
      <c r="A1011" s="279" t="s">
        <v>3044</v>
      </c>
      <c r="B1011" s="41" t="s">
        <v>1462</v>
      </c>
      <c r="C1011" s="287">
        <v>0</v>
      </c>
      <c r="D1011" s="288">
        <f t="shared" si="211"/>
        <v>0</v>
      </c>
      <c r="E1011" s="287"/>
      <c r="F1011" s="287"/>
      <c r="G1011" s="287"/>
      <c r="H1011" s="287"/>
      <c r="I1011" s="302"/>
      <c r="J1011" s="303">
        <f t="shared" si="207"/>
        <v>0</v>
      </c>
      <c r="K1011" s="294" t="s">
        <v>3555</v>
      </c>
      <c r="L1011" s="44">
        <v>1</v>
      </c>
      <c r="M1011" s="308" t="s">
        <v>3039</v>
      </c>
      <c r="N1011" s="308"/>
      <c r="O1011" s="308" t="s">
        <v>762</v>
      </c>
      <c r="P1011" s="309" t="s">
        <v>4288</v>
      </c>
    </row>
    <row r="1012" s="107" customFormat="1" ht="20.1" customHeight="1" spans="1:16">
      <c r="A1012" s="279" t="s">
        <v>3045</v>
      </c>
      <c r="B1012" s="41" t="s">
        <v>3046</v>
      </c>
      <c r="C1012" s="287">
        <v>0</v>
      </c>
      <c r="D1012" s="288">
        <f t="shared" si="211"/>
        <v>0</v>
      </c>
      <c r="E1012" s="287"/>
      <c r="F1012" s="287"/>
      <c r="G1012" s="287"/>
      <c r="H1012" s="287"/>
      <c r="I1012" s="302"/>
      <c r="J1012" s="303">
        <f t="shared" si="207"/>
        <v>0</v>
      </c>
      <c r="K1012" s="300" t="s">
        <v>3551</v>
      </c>
      <c r="L1012" s="301"/>
      <c r="M1012" s="312" t="s">
        <v>764</v>
      </c>
      <c r="N1012" s="312" t="s">
        <v>758</v>
      </c>
      <c r="O1012" s="312" t="s">
        <v>764</v>
      </c>
      <c r="P1012" s="313" t="s">
        <v>4289</v>
      </c>
    </row>
    <row r="1013" s="106" customFormat="1" ht="20.1" customHeight="1" spans="1:16">
      <c r="A1013" s="279" t="s">
        <v>3047</v>
      </c>
      <c r="B1013" s="41" t="s">
        <v>3048</v>
      </c>
      <c r="C1013" s="287">
        <v>0</v>
      </c>
      <c r="D1013" s="288">
        <f t="shared" si="211"/>
        <v>0</v>
      </c>
      <c r="E1013" s="287"/>
      <c r="F1013" s="287"/>
      <c r="G1013" s="287"/>
      <c r="H1013" s="287"/>
      <c r="I1013" s="302"/>
      <c r="J1013" s="303">
        <f t="shared" si="207"/>
        <v>0</v>
      </c>
      <c r="K1013" s="294" t="s">
        <v>3555</v>
      </c>
      <c r="L1013" s="44">
        <v>1</v>
      </c>
      <c r="M1013" s="308" t="s">
        <v>3042</v>
      </c>
      <c r="N1013" s="308"/>
      <c r="O1013" s="308" t="s">
        <v>764</v>
      </c>
      <c r="P1013" s="314" t="s">
        <v>3556</v>
      </c>
    </row>
    <row r="1014" s="106" customFormat="1" ht="20.1" customHeight="1" spans="1:16">
      <c r="A1014" s="279" t="s">
        <v>3049</v>
      </c>
      <c r="B1014" s="41" t="s">
        <v>3050</v>
      </c>
      <c r="C1014" s="287">
        <v>0</v>
      </c>
      <c r="D1014" s="288">
        <f t="shared" si="211"/>
        <v>0</v>
      </c>
      <c r="E1014" s="287"/>
      <c r="F1014" s="287"/>
      <c r="G1014" s="287"/>
      <c r="H1014" s="287"/>
      <c r="I1014" s="302"/>
      <c r="J1014" s="303">
        <f t="shared" ref="J1014:J1075" si="218">ROUND(IF(C1014=0,IF(D1014=0,0,1),IF(D1014=0,-1,D1014/C1014)),4)*100</f>
        <v>0</v>
      </c>
      <c r="K1014" s="294" t="s">
        <v>3555</v>
      </c>
      <c r="L1014" s="44">
        <v>1</v>
      </c>
      <c r="M1014" s="308" t="s">
        <v>3043</v>
      </c>
      <c r="N1014" s="308"/>
      <c r="O1014" s="308" t="s">
        <v>764</v>
      </c>
      <c r="P1014" s="314" t="s">
        <v>3557</v>
      </c>
    </row>
    <row r="1015" s="106" customFormat="1" ht="20.1" customHeight="1" spans="1:16">
      <c r="A1015" s="279" t="s">
        <v>3051</v>
      </c>
      <c r="B1015" s="41" t="s">
        <v>3052</v>
      </c>
      <c r="C1015" s="287">
        <v>0</v>
      </c>
      <c r="D1015" s="288">
        <f t="shared" si="211"/>
        <v>0</v>
      </c>
      <c r="E1015" s="287"/>
      <c r="F1015" s="287"/>
      <c r="G1015" s="287"/>
      <c r="H1015" s="287"/>
      <c r="I1015" s="302"/>
      <c r="J1015" s="303">
        <f t="shared" si="218"/>
        <v>0</v>
      </c>
      <c r="K1015" s="294" t="s">
        <v>3555</v>
      </c>
      <c r="L1015" s="44">
        <v>1</v>
      </c>
      <c r="M1015" s="308" t="s">
        <v>3044</v>
      </c>
      <c r="N1015" s="308"/>
      <c r="O1015" s="308" t="s">
        <v>764</v>
      </c>
      <c r="P1015" s="314" t="s">
        <v>3558</v>
      </c>
    </row>
    <row r="1016" s="106" customFormat="1" ht="20.1" customHeight="1" spans="1:16">
      <c r="A1016" s="279" t="s">
        <v>3053</v>
      </c>
      <c r="B1016" s="41" t="s">
        <v>3054</v>
      </c>
      <c r="C1016" s="287">
        <v>0</v>
      </c>
      <c r="D1016" s="288">
        <f t="shared" si="211"/>
        <v>0</v>
      </c>
      <c r="E1016" s="287"/>
      <c r="F1016" s="287"/>
      <c r="G1016" s="287"/>
      <c r="H1016" s="287"/>
      <c r="I1016" s="302"/>
      <c r="J1016" s="303">
        <f t="shared" si="218"/>
        <v>0</v>
      </c>
      <c r="K1016" s="294" t="s">
        <v>3555</v>
      </c>
      <c r="L1016" s="44">
        <v>1</v>
      </c>
      <c r="M1016" s="308" t="s">
        <v>3045</v>
      </c>
      <c r="N1016" s="308"/>
      <c r="O1016" s="308" t="s">
        <v>764</v>
      </c>
      <c r="P1016" s="309" t="s">
        <v>4290</v>
      </c>
    </row>
    <row r="1017" s="106" customFormat="1" ht="20.1" customHeight="1" spans="1:16">
      <c r="A1017" s="279" t="s">
        <v>3055</v>
      </c>
      <c r="B1017" s="41" t="s">
        <v>3056</v>
      </c>
      <c r="C1017" s="287">
        <v>0</v>
      </c>
      <c r="D1017" s="288">
        <f t="shared" si="211"/>
        <v>0</v>
      </c>
      <c r="E1017" s="287"/>
      <c r="F1017" s="287"/>
      <c r="G1017" s="287"/>
      <c r="H1017" s="287"/>
      <c r="I1017" s="302"/>
      <c r="J1017" s="303">
        <f t="shared" si="218"/>
        <v>0</v>
      </c>
      <c r="K1017" s="294" t="s">
        <v>3555</v>
      </c>
      <c r="L1017" s="44">
        <v>1</v>
      </c>
      <c r="M1017" s="308" t="s">
        <v>3047</v>
      </c>
      <c r="N1017" s="308"/>
      <c r="O1017" s="308" t="s">
        <v>764</v>
      </c>
      <c r="P1017" s="314" t="s">
        <v>4291</v>
      </c>
    </row>
    <row r="1018" s="106" customFormat="1" ht="20.1" customHeight="1" spans="1:16">
      <c r="A1018" s="283" t="s">
        <v>3057</v>
      </c>
      <c r="B1018" s="323" t="s">
        <v>3058</v>
      </c>
      <c r="C1018" s="285">
        <v>0</v>
      </c>
      <c r="D1018" s="285">
        <f t="shared" si="211"/>
        <v>0</v>
      </c>
      <c r="E1018" s="285">
        <f t="shared" ref="E1018:H1018" si="219">SUM(E1019:E1024)</f>
        <v>0</v>
      </c>
      <c r="F1018" s="285">
        <f t="shared" si="219"/>
        <v>0</v>
      </c>
      <c r="G1018" s="285">
        <f t="shared" si="219"/>
        <v>0</v>
      </c>
      <c r="H1018" s="285">
        <f t="shared" si="219"/>
        <v>0</v>
      </c>
      <c r="I1018" s="285"/>
      <c r="J1018" s="324">
        <f t="shared" si="218"/>
        <v>0</v>
      </c>
      <c r="K1018" s="294" t="s">
        <v>3555</v>
      </c>
      <c r="L1018" s="44">
        <v>1</v>
      </c>
      <c r="M1018" s="308" t="s">
        <v>3049</v>
      </c>
      <c r="N1018" s="308"/>
      <c r="O1018" s="308" t="s">
        <v>764</v>
      </c>
      <c r="P1018" s="309" t="s">
        <v>4292</v>
      </c>
    </row>
    <row r="1019" s="106" customFormat="1" ht="20.1" customHeight="1" spans="1:16">
      <c r="A1019" s="279" t="s">
        <v>3059</v>
      </c>
      <c r="B1019" s="41" t="s">
        <v>1458</v>
      </c>
      <c r="C1019" s="287">
        <v>0</v>
      </c>
      <c r="D1019" s="288">
        <f t="shared" si="211"/>
        <v>0</v>
      </c>
      <c r="E1019" s="287"/>
      <c r="F1019" s="287"/>
      <c r="G1019" s="287"/>
      <c r="H1019" s="287"/>
      <c r="I1019" s="302"/>
      <c r="J1019" s="303">
        <f t="shared" si="218"/>
        <v>0</v>
      </c>
      <c r="K1019" s="294" t="s">
        <v>3555</v>
      </c>
      <c r="L1019" s="44">
        <v>1</v>
      </c>
      <c r="M1019" s="308" t="s">
        <v>3051</v>
      </c>
      <c r="N1019" s="308"/>
      <c r="O1019" s="308" t="s">
        <v>764</v>
      </c>
      <c r="P1019" s="309" t="s">
        <v>4293</v>
      </c>
    </row>
    <row r="1020" s="106" customFormat="1" ht="20.1" customHeight="1" spans="1:16">
      <c r="A1020" s="279" t="s">
        <v>3060</v>
      </c>
      <c r="B1020" s="41" t="s">
        <v>1460</v>
      </c>
      <c r="C1020" s="287"/>
      <c r="D1020" s="288">
        <f t="shared" si="211"/>
        <v>0</v>
      </c>
      <c r="E1020" s="287"/>
      <c r="F1020" s="287"/>
      <c r="G1020" s="287"/>
      <c r="H1020" s="287"/>
      <c r="I1020" s="302"/>
      <c r="J1020" s="303">
        <f t="shared" si="218"/>
        <v>0</v>
      </c>
      <c r="K1020" s="294" t="s">
        <v>3555</v>
      </c>
      <c r="L1020" s="44">
        <v>1</v>
      </c>
      <c r="M1020" s="308" t="s">
        <v>3053</v>
      </c>
      <c r="N1020" s="308"/>
      <c r="O1020" s="308" t="s">
        <v>764</v>
      </c>
      <c r="P1020" s="309" t="s">
        <v>4294</v>
      </c>
    </row>
    <row r="1021" s="106" customFormat="1" ht="20.1" customHeight="1" spans="1:16">
      <c r="A1021" s="279" t="s">
        <v>3061</v>
      </c>
      <c r="B1021" s="41" t="s">
        <v>1462</v>
      </c>
      <c r="C1021" s="287">
        <v>0</v>
      </c>
      <c r="D1021" s="288">
        <f t="shared" si="211"/>
        <v>0</v>
      </c>
      <c r="E1021" s="287"/>
      <c r="F1021" s="287"/>
      <c r="G1021" s="287"/>
      <c r="H1021" s="287"/>
      <c r="I1021" s="302"/>
      <c r="J1021" s="303">
        <f t="shared" si="218"/>
        <v>0</v>
      </c>
      <c r="K1021" s="294" t="s">
        <v>3555</v>
      </c>
      <c r="L1021" s="44">
        <v>1</v>
      </c>
      <c r="M1021" s="308" t="s">
        <v>3055</v>
      </c>
      <c r="N1021" s="308"/>
      <c r="O1021" s="308" t="s">
        <v>764</v>
      </c>
      <c r="P1021" s="309" t="s">
        <v>4295</v>
      </c>
    </row>
    <row r="1022" s="107" customFormat="1" ht="20.1" customHeight="1" spans="1:16">
      <c r="A1022" s="279" t="s">
        <v>3062</v>
      </c>
      <c r="B1022" s="41" t="s">
        <v>3038</v>
      </c>
      <c r="C1022" s="287">
        <v>0</v>
      </c>
      <c r="D1022" s="288">
        <f t="shared" si="211"/>
        <v>0</v>
      </c>
      <c r="E1022" s="287"/>
      <c r="F1022" s="287"/>
      <c r="G1022" s="287"/>
      <c r="H1022" s="287"/>
      <c r="I1022" s="302"/>
      <c r="J1022" s="303">
        <f t="shared" si="218"/>
        <v>0</v>
      </c>
      <c r="K1022" s="300" t="s">
        <v>3551</v>
      </c>
      <c r="L1022" s="301"/>
      <c r="M1022" s="312" t="s">
        <v>3057</v>
      </c>
      <c r="N1022" s="312" t="s">
        <v>758</v>
      </c>
      <c r="O1022" s="312" t="s">
        <v>3057</v>
      </c>
      <c r="P1022" s="313" t="s">
        <v>4296</v>
      </c>
    </row>
    <row r="1023" s="106" customFormat="1" ht="20.1" customHeight="1" spans="1:16">
      <c r="A1023" s="279" t="s">
        <v>3063</v>
      </c>
      <c r="B1023" s="41" t="s">
        <v>3064</v>
      </c>
      <c r="C1023" s="287">
        <v>0</v>
      </c>
      <c r="D1023" s="288">
        <f t="shared" si="211"/>
        <v>0</v>
      </c>
      <c r="E1023" s="287"/>
      <c r="F1023" s="287"/>
      <c r="G1023" s="287"/>
      <c r="H1023" s="287"/>
      <c r="I1023" s="302"/>
      <c r="J1023" s="303">
        <f t="shared" si="218"/>
        <v>0</v>
      </c>
      <c r="K1023" s="294" t="s">
        <v>3555</v>
      </c>
      <c r="L1023" s="44">
        <v>1</v>
      </c>
      <c r="M1023" s="308" t="s">
        <v>3059</v>
      </c>
      <c r="N1023" s="308"/>
      <c r="O1023" s="308" t="s">
        <v>3057</v>
      </c>
      <c r="P1023" s="314" t="s">
        <v>3556</v>
      </c>
    </row>
    <row r="1024" s="106" customFormat="1" ht="20.1" customHeight="1" spans="1:16">
      <c r="A1024" s="279" t="s">
        <v>3065</v>
      </c>
      <c r="B1024" s="41" t="s">
        <v>3066</v>
      </c>
      <c r="C1024" s="287">
        <v>0</v>
      </c>
      <c r="D1024" s="288">
        <f t="shared" si="211"/>
        <v>0</v>
      </c>
      <c r="E1024" s="287"/>
      <c r="F1024" s="287"/>
      <c r="G1024" s="287"/>
      <c r="H1024" s="287"/>
      <c r="I1024" s="302"/>
      <c r="J1024" s="303">
        <f t="shared" si="218"/>
        <v>0</v>
      </c>
      <c r="K1024" s="294" t="s">
        <v>3555</v>
      </c>
      <c r="L1024" s="44">
        <v>1</v>
      </c>
      <c r="M1024" s="308" t="s">
        <v>3060</v>
      </c>
      <c r="N1024" s="308"/>
      <c r="O1024" s="308" t="s">
        <v>3057</v>
      </c>
      <c r="P1024" s="314" t="s">
        <v>3557</v>
      </c>
    </row>
    <row r="1025" s="106" customFormat="1" ht="20.1" customHeight="1" spans="1:16">
      <c r="A1025" s="283" t="s">
        <v>768</v>
      </c>
      <c r="B1025" s="323" t="s">
        <v>3067</v>
      </c>
      <c r="C1025" s="285">
        <f t="shared" ref="C1025:H1025" si="220">SUM(C1026:C1027)</f>
        <v>4</v>
      </c>
      <c r="D1025" s="285">
        <f t="shared" si="211"/>
        <v>437</v>
      </c>
      <c r="E1025" s="285">
        <f t="shared" si="220"/>
        <v>0</v>
      </c>
      <c r="F1025" s="285">
        <f t="shared" si="220"/>
        <v>0</v>
      </c>
      <c r="G1025" s="285">
        <f t="shared" si="220"/>
        <v>437</v>
      </c>
      <c r="H1025" s="285">
        <f t="shared" si="220"/>
        <v>0</v>
      </c>
      <c r="I1025" s="285"/>
      <c r="J1025" s="324">
        <f t="shared" si="218"/>
        <v>10925</v>
      </c>
      <c r="K1025" s="294" t="s">
        <v>3555</v>
      </c>
      <c r="L1025" s="44">
        <v>1</v>
      </c>
      <c r="M1025" s="308" t="s">
        <v>3061</v>
      </c>
      <c r="N1025" s="308"/>
      <c r="O1025" s="308" t="s">
        <v>3057</v>
      </c>
      <c r="P1025" s="314" t="s">
        <v>3558</v>
      </c>
    </row>
    <row r="1026" s="106" customFormat="1" ht="20.1" customHeight="1" spans="1:16">
      <c r="A1026" s="279" t="s">
        <v>3068</v>
      </c>
      <c r="B1026" s="41" t="s">
        <v>3069</v>
      </c>
      <c r="C1026" s="287">
        <v>4</v>
      </c>
      <c r="D1026" s="288">
        <f t="shared" si="211"/>
        <v>0</v>
      </c>
      <c r="E1026" s="287"/>
      <c r="F1026" s="287"/>
      <c r="G1026" s="287"/>
      <c r="H1026" s="287"/>
      <c r="I1026" s="302"/>
      <c r="J1026" s="303">
        <f t="shared" si="218"/>
        <v>-100</v>
      </c>
      <c r="K1026" s="294" t="s">
        <v>3555</v>
      </c>
      <c r="L1026" s="44">
        <v>1</v>
      </c>
      <c r="M1026" s="308" t="s">
        <v>3062</v>
      </c>
      <c r="N1026" s="308"/>
      <c r="O1026" s="308" t="s">
        <v>3057</v>
      </c>
      <c r="P1026" s="314" t="s">
        <v>4287</v>
      </c>
    </row>
    <row r="1027" s="106" customFormat="1" ht="20.1" customHeight="1" spans="1:16">
      <c r="A1027" s="279" t="s">
        <v>3070</v>
      </c>
      <c r="B1027" s="41" t="s">
        <v>769</v>
      </c>
      <c r="C1027" s="287"/>
      <c r="D1027" s="288">
        <f t="shared" si="211"/>
        <v>437</v>
      </c>
      <c r="E1027" s="287"/>
      <c r="F1027" s="287"/>
      <c r="G1027" s="287">
        <v>437</v>
      </c>
      <c r="H1027" s="287"/>
      <c r="I1027" s="302"/>
      <c r="J1027" s="303">
        <f t="shared" si="218"/>
        <v>100</v>
      </c>
      <c r="K1027" s="294" t="s">
        <v>3555</v>
      </c>
      <c r="L1027" s="44">
        <v>1</v>
      </c>
      <c r="M1027" s="308" t="s">
        <v>3063</v>
      </c>
      <c r="N1027" s="308"/>
      <c r="O1027" s="308" t="s">
        <v>3057</v>
      </c>
      <c r="P1027" s="309" t="s">
        <v>4297</v>
      </c>
    </row>
    <row r="1028" s="106" customFormat="1" ht="20.1" customHeight="1" spans="1:16">
      <c r="A1028" s="280" t="s">
        <v>770</v>
      </c>
      <c r="B1028" s="281" t="s">
        <v>771</v>
      </c>
      <c r="C1028" s="282">
        <f t="shared" ref="C1028:I1028" si="221">C1029+C1039+C1055+C1060+C1071+C1078+C1086</f>
        <v>889</v>
      </c>
      <c r="D1028" s="282">
        <f t="shared" si="211"/>
        <v>58</v>
      </c>
      <c r="E1028" s="282">
        <f t="shared" si="221"/>
        <v>0</v>
      </c>
      <c r="F1028" s="282">
        <f t="shared" si="221"/>
        <v>0</v>
      </c>
      <c r="G1028" s="282">
        <f t="shared" si="221"/>
        <v>58</v>
      </c>
      <c r="H1028" s="282">
        <f t="shared" si="221"/>
        <v>0</v>
      </c>
      <c r="I1028" s="282">
        <f t="shared" si="221"/>
        <v>0</v>
      </c>
      <c r="J1028" s="296">
        <f t="shared" si="218"/>
        <v>6.52</v>
      </c>
      <c r="K1028" s="294" t="s">
        <v>3555</v>
      </c>
      <c r="L1028" s="44">
        <v>1</v>
      </c>
      <c r="M1028" s="308" t="s">
        <v>3065</v>
      </c>
      <c r="N1028" s="308"/>
      <c r="O1028" s="308" t="s">
        <v>3057</v>
      </c>
      <c r="P1028" s="309" t="s">
        <v>4298</v>
      </c>
    </row>
    <row r="1029" s="107" customFormat="1" ht="20.1" customHeight="1" spans="1:16">
      <c r="A1029" s="283" t="s">
        <v>772</v>
      </c>
      <c r="B1029" s="323" t="s">
        <v>3071</v>
      </c>
      <c r="C1029" s="285">
        <f t="shared" ref="C1029:I1029" si="222">SUM(C1030:C1038)</f>
        <v>33</v>
      </c>
      <c r="D1029" s="285">
        <f t="shared" si="211"/>
        <v>0</v>
      </c>
      <c r="E1029" s="285">
        <f t="shared" si="222"/>
        <v>0</v>
      </c>
      <c r="F1029" s="285">
        <f t="shared" si="222"/>
        <v>0</v>
      </c>
      <c r="G1029" s="285">
        <f t="shared" si="222"/>
        <v>0</v>
      </c>
      <c r="H1029" s="285">
        <f t="shared" si="222"/>
        <v>0</v>
      </c>
      <c r="I1029" s="285">
        <f t="shared" si="222"/>
        <v>0</v>
      </c>
      <c r="J1029" s="324">
        <f t="shared" si="218"/>
        <v>-100</v>
      </c>
      <c r="K1029" s="300" t="s">
        <v>3551</v>
      </c>
      <c r="L1029" s="301"/>
      <c r="M1029" s="312" t="s">
        <v>768</v>
      </c>
      <c r="N1029" s="312" t="s">
        <v>758</v>
      </c>
      <c r="O1029" s="312" t="s">
        <v>768</v>
      </c>
      <c r="P1029" s="313" t="s">
        <v>4299</v>
      </c>
    </row>
    <row r="1030" s="106" customFormat="1" ht="20.1" customHeight="1" spans="1:16">
      <c r="A1030" s="279" t="s">
        <v>3072</v>
      </c>
      <c r="B1030" s="41" t="s">
        <v>1458</v>
      </c>
      <c r="C1030" s="287">
        <v>0</v>
      </c>
      <c r="D1030" s="288">
        <f t="shared" ref="D1030:D1093" si="223">SUM(E1030:I1030)</f>
        <v>0</v>
      </c>
      <c r="E1030" s="287"/>
      <c r="F1030" s="287"/>
      <c r="G1030" s="287"/>
      <c r="H1030" s="287"/>
      <c r="I1030" s="302"/>
      <c r="J1030" s="303">
        <f t="shared" si="218"/>
        <v>0</v>
      </c>
      <c r="K1030" s="294" t="s">
        <v>3555</v>
      </c>
      <c r="L1030" s="44">
        <v>1</v>
      </c>
      <c r="M1030" s="308" t="s">
        <v>3068</v>
      </c>
      <c r="N1030" s="308"/>
      <c r="O1030" s="308" t="s">
        <v>768</v>
      </c>
      <c r="P1030" s="309" t="s">
        <v>4300</v>
      </c>
    </row>
    <row r="1031" s="106" customFormat="1" ht="20.1" customHeight="1" spans="1:16">
      <c r="A1031" s="279" t="s">
        <v>3073</v>
      </c>
      <c r="B1031" s="41" t="s">
        <v>1460</v>
      </c>
      <c r="C1031" s="287">
        <v>0</v>
      </c>
      <c r="D1031" s="288">
        <f t="shared" si="223"/>
        <v>0</v>
      </c>
      <c r="E1031" s="287"/>
      <c r="F1031" s="287"/>
      <c r="G1031" s="287"/>
      <c r="H1031" s="287"/>
      <c r="I1031" s="302"/>
      <c r="J1031" s="303">
        <f t="shared" si="218"/>
        <v>0</v>
      </c>
      <c r="K1031" s="294" t="s">
        <v>3555</v>
      </c>
      <c r="L1031" s="44">
        <v>1</v>
      </c>
      <c r="M1031" s="308" t="s">
        <v>3070</v>
      </c>
      <c r="N1031" s="308"/>
      <c r="O1031" s="308" t="s">
        <v>768</v>
      </c>
      <c r="P1031" s="309" t="s">
        <v>4299</v>
      </c>
    </row>
    <row r="1032" s="107" customFormat="1" ht="20.1" customHeight="1" spans="1:16">
      <c r="A1032" s="279" t="s">
        <v>3074</v>
      </c>
      <c r="B1032" s="41" t="s">
        <v>1462</v>
      </c>
      <c r="C1032" s="287">
        <v>0</v>
      </c>
      <c r="D1032" s="288">
        <f t="shared" si="223"/>
        <v>0</v>
      </c>
      <c r="E1032" s="287"/>
      <c r="F1032" s="287"/>
      <c r="G1032" s="287"/>
      <c r="H1032" s="287"/>
      <c r="I1032" s="302"/>
      <c r="J1032" s="303">
        <f t="shared" si="218"/>
        <v>0</v>
      </c>
      <c r="K1032" s="297" t="s">
        <v>3550</v>
      </c>
      <c r="L1032" s="298"/>
      <c r="M1032" s="310" t="s">
        <v>770</v>
      </c>
      <c r="N1032" s="310" t="s">
        <v>770</v>
      </c>
      <c r="O1032" s="310" t="s">
        <v>770</v>
      </c>
      <c r="P1032" s="311" t="s">
        <v>4301</v>
      </c>
    </row>
    <row r="1033" s="107" customFormat="1" ht="20.1" customHeight="1" spans="1:16">
      <c r="A1033" s="279" t="s">
        <v>3075</v>
      </c>
      <c r="B1033" s="41" t="s">
        <v>3076</v>
      </c>
      <c r="C1033" s="287">
        <v>0</v>
      </c>
      <c r="D1033" s="288">
        <f t="shared" si="223"/>
        <v>0</v>
      </c>
      <c r="E1033" s="287"/>
      <c r="F1033" s="287"/>
      <c r="G1033" s="287"/>
      <c r="H1033" s="287"/>
      <c r="I1033" s="302"/>
      <c r="J1033" s="303">
        <f t="shared" si="218"/>
        <v>0</v>
      </c>
      <c r="K1033" s="300" t="s">
        <v>3551</v>
      </c>
      <c r="L1033" s="301"/>
      <c r="M1033" s="312" t="s">
        <v>772</v>
      </c>
      <c r="N1033" s="312" t="s">
        <v>770</v>
      </c>
      <c r="O1033" s="312" t="s">
        <v>772</v>
      </c>
      <c r="P1033" s="313" t="s">
        <v>4302</v>
      </c>
    </row>
    <row r="1034" s="106" customFormat="1" ht="20.1" customHeight="1" spans="1:16">
      <c r="A1034" s="279" t="s">
        <v>3077</v>
      </c>
      <c r="B1034" s="41" t="s">
        <v>3078</v>
      </c>
      <c r="C1034" s="287">
        <v>0</v>
      </c>
      <c r="D1034" s="288">
        <f t="shared" si="223"/>
        <v>0</v>
      </c>
      <c r="E1034" s="287"/>
      <c r="F1034" s="287"/>
      <c r="G1034" s="287"/>
      <c r="H1034" s="287"/>
      <c r="I1034" s="302"/>
      <c r="J1034" s="303">
        <f t="shared" si="218"/>
        <v>0</v>
      </c>
      <c r="K1034" s="294" t="s">
        <v>3555</v>
      </c>
      <c r="L1034" s="44">
        <v>1</v>
      </c>
      <c r="M1034" s="308" t="s">
        <v>3072</v>
      </c>
      <c r="N1034" s="308"/>
      <c r="O1034" s="308" t="s">
        <v>772</v>
      </c>
      <c r="P1034" s="314" t="s">
        <v>3556</v>
      </c>
    </row>
    <row r="1035" s="106" customFormat="1" ht="20.1" customHeight="1" spans="1:16">
      <c r="A1035" s="279" t="s">
        <v>3079</v>
      </c>
      <c r="B1035" s="41" t="s">
        <v>3080</v>
      </c>
      <c r="C1035" s="287">
        <v>0</v>
      </c>
      <c r="D1035" s="288">
        <f t="shared" si="223"/>
        <v>0</v>
      </c>
      <c r="E1035" s="287"/>
      <c r="F1035" s="287"/>
      <c r="G1035" s="287"/>
      <c r="H1035" s="287"/>
      <c r="I1035" s="302"/>
      <c r="J1035" s="303">
        <f t="shared" si="218"/>
        <v>0</v>
      </c>
      <c r="K1035" s="294" t="s">
        <v>3555</v>
      </c>
      <c r="L1035" s="44">
        <v>1</v>
      </c>
      <c r="M1035" s="308" t="s">
        <v>3073</v>
      </c>
      <c r="N1035" s="308"/>
      <c r="O1035" s="308" t="s">
        <v>772</v>
      </c>
      <c r="P1035" s="314" t="s">
        <v>3557</v>
      </c>
    </row>
    <row r="1036" s="106" customFormat="1" ht="20.1" customHeight="1" spans="1:16">
      <c r="A1036" s="279" t="s">
        <v>3081</v>
      </c>
      <c r="B1036" s="41" t="s">
        <v>3082</v>
      </c>
      <c r="C1036" s="287">
        <v>0</v>
      </c>
      <c r="D1036" s="288">
        <f t="shared" si="223"/>
        <v>0</v>
      </c>
      <c r="E1036" s="287"/>
      <c r="F1036" s="287"/>
      <c r="G1036" s="287"/>
      <c r="H1036" s="287"/>
      <c r="I1036" s="302"/>
      <c r="J1036" s="303">
        <f t="shared" si="218"/>
        <v>0</v>
      </c>
      <c r="K1036" s="294" t="s">
        <v>3555</v>
      </c>
      <c r="L1036" s="44">
        <v>1</v>
      </c>
      <c r="M1036" s="308" t="s">
        <v>3074</v>
      </c>
      <c r="N1036" s="308"/>
      <c r="O1036" s="308" t="s">
        <v>772</v>
      </c>
      <c r="P1036" s="314" t="s">
        <v>3558</v>
      </c>
    </row>
    <row r="1037" s="106" customFormat="1" ht="20.1" customHeight="1" spans="1:16">
      <c r="A1037" s="279" t="s">
        <v>3083</v>
      </c>
      <c r="B1037" s="41" t="s">
        <v>3084</v>
      </c>
      <c r="C1037" s="287">
        <v>0</v>
      </c>
      <c r="D1037" s="288">
        <f t="shared" si="223"/>
        <v>0</v>
      </c>
      <c r="E1037" s="287"/>
      <c r="F1037" s="287"/>
      <c r="G1037" s="287"/>
      <c r="H1037" s="287"/>
      <c r="I1037" s="302"/>
      <c r="J1037" s="303">
        <f t="shared" si="218"/>
        <v>0</v>
      </c>
      <c r="K1037" s="294" t="s">
        <v>3555</v>
      </c>
      <c r="L1037" s="44">
        <v>1</v>
      </c>
      <c r="M1037" s="308" t="s">
        <v>3075</v>
      </c>
      <c r="N1037" s="308"/>
      <c r="O1037" s="308" t="s">
        <v>772</v>
      </c>
      <c r="P1037" s="309" t="s">
        <v>4303</v>
      </c>
    </row>
    <row r="1038" s="106" customFormat="1" ht="20.1" customHeight="1" spans="1:16">
      <c r="A1038" s="279" t="s">
        <v>3085</v>
      </c>
      <c r="B1038" s="41" t="s">
        <v>3086</v>
      </c>
      <c r="C1038" s="287">
        <v>33</v>
      </c>
      <c r="D1038" s="288">
        <f t="shared" si="223"/>
        <v>0</v>
      </c>
      <c r="E1038" s="287"/>
      <c r="F1038" s="287"/>
      <c r="G1038" s="287"/>
      <c r="H1038" s="287"/>
      <c r="I1038" s="302"/>
      <c r="J1038" s="303">
        <f t="shared" si="218"/>
        <v>-100</v>
      </c>
      <c r="K1038" s="294" t="s">
        <v>3555</v>
      </c>
      <c r="L1038" s="44">
        <v>1</v>
      </c>
      <c r="M1038" s="308" t="s">
        <v>3077</v>
      </c>
      <c r="N1038" s="308"/>
      <c r="O1038" s="308" t="s">
        <v>772</v>
      </c>
      <c r="P1038" s="309" t="s">
        <v>4304</v>
      </c>
    </row>
    <row r="1039" s="106" customFormat="1" ht="20.1" customHeight="1" spans="1:16">
      <c r="A1039" s="283" t="s">
        <v>774</v>
      </c>
      <c r="B1039" s="323" t="s">
        <v>3087</v>
      </c>
      <c r="C1039" s="285">
        <f t="shared" ref="C1039:I1039" si="224">SUM(C1040:C1054)</f>
        <v>256</v>
      </c>
      <c r="D1039" s="285">
        <f t="shared" si="223"/>
        <v>56</v>
      </c>
      <c r="E1039" s="285">
        <f t="shared" si="224"/>
        <v>0</v>
      </c>
      <c r="F1039" s="285">
        <f t="shared" si="224"/>
        <v>0</v>
      </c>
      <c r="G1039" s="285">
        <f t="shared" si="224"/>
        <v>56</v>
      </c>
      <c r="H1039" s="285">
        <f t="shared" si="224"/>
        <v>0</v>
      </c>
      <c r="I1039" s="285">
        <f t="shared" si="224"/>
        <v>0</v>
      </c>
      <c r="J1039" s="324">
        <f t="shared" si="218"/>
        <v>21.88</v>
      </c>
      <c r="K1039" s="294" t="s">
        <v>3555</v>
      </c>
      <c r="L1039" s="44">
        <v>1</v>
      </c>
      <c r="M1039" s="308" t="s">
        <v>3079</v>
      </c>
      <c r="N1039" s="308"/>
      <c r="O1039" s="308" t="s">
        <v>772</v>
      </c>
      <c r="P1039" s="309" t="s">
        <v>4305</v>
      </c>
    </row>
    <row r="1040" s="106" customFormat="1" ht="20.1" customHeight="1" spans="1:16">
      <c r="A1040" s="279" t="s">
        <v>3088</v>
      </c>
      <c r="B1040" s="41" t="s">
        <v>1458</v>
      </c>
      <c r="C1040" s="287">
        <v>0</v>
      </c>
      <c r="D1040" s="288">
        <f t="shared" si="223"/>
        <v>0</v>
      </c>
      <c r="E1040" s="287"/>
      <c r="F1040" s="287"/>
      <c r="G1040" s="287"/>
      <c r="H1040" s="287"/>
      <c r="I1040" s="302"/>
      <c r="J1040" s="303">
        <f t="shared" si="218"/>
        <v>0</v>
      </c>
      <c r="K1040" s="294" t="s">
        <v>3555</v>
      </c>
      <c r="L1040" s="44">
        <v>1</v>
      </c>
      <c r="M1040" s="308" t="s">
        <v>3081</v>
      </c>
      <c r="N1040" s="308"/>
      <c r="O1040" s="308" t="s">
        <v>772</v>
      </c>
      <c r="P1040" s="309" t="s">
        <v>4306</v>
      </c>
    </row>
    <row r="1041" s="106" customFormat="1" ht="20.1" customHeight="1" spans="1:16">
      <c r="A1041" s="279" t="s">
        <v>3089</v>
      </c>
      <c r="B1041" s="41" t="s">
        <v>1460</v>
      </c>
      <c r="C1041" s="287">
        <v>0</v>
      </c>
      <c r="D1041" s="288">
        <f t="shared" si="223"/>
        <v>0</v>
      </c>
      <c r="E1041" s="287"/>
      <c r="F1041" s="287"/>
      <c r="G1041" s="287"/>
      <c r="H1041" s="287"/>
      <c r="I1041" s="302"/>
      <c r="J1041" s="303">
        <f t="shared" si="218"/>
        <v>0</v>
      </c>
      <c r="K1041" s="294" t="s">
        <v>3555</v>
      </c>
      <c r="L1041" s="44">
        <v>1</v>
      </c>
      <c r="M1041" s="308" t="s">
        <v>3083</v>
      </c>
      <c r="N1041" s="308"/>
      <c r="O1041" s="308" t="s">
        <v>772</v>
      </c>
      <c r="P1041" s="309" t="s">
        <v>4307</v>
      </c>
    </row>
    <row r="1042" s="106" customFormat="1" ht="20.1" customHeight="1" spans="1:16">
      <c r="A1042" s="279" t="s">
        <v>3090</v>
      </c>
      <c r="B1042" s="41" t="s">
        <v>1462</v>
      </c>
      <c r="C1042" s="287">
        <v>0</v>
      </c>
      <c r="D1042" s="288">
        <f t="shared" si="223"/>
        <v>0</v>
      </c>
      <c r="E1042" s="287"/>
      <c r="F1042" s="287"/>
      <c r="G1042" s="287"/>
      <c r="H1042" s="287"/>
      <c r="I1042" s="302"/>
      <c r="J1042" s="303">
        <f t="shared" si="218"/>
        <v>0</v>
      </c>
      <c r="K1042" s="294" t="s">
        <v>3555</v>
      </c>
      <c r="L1042" s="44">
        <v>1</v>
      </c>
      <c r="M1042" s="308" t="s">
        <v>3085</v>
      </c>
      <c r="N1042" s="308"/>
      <c r="O1042" s="308" t="s">
        <v>772</v>
      </c>
      <c r="P1042" s="309" t="s">
        <v>4308</v>
      </c>
    </row>
    <row r="1043" s="107" customFormat="1" ht="20.1" customHeight="1" spans="1:16">
      <c r="A1043" s="279" t="s">
        <v>3091</v>
      </c>
      <c r="B1043" s="41" t="s">
        <v>3092</v>
      </c>
      <c r="C1043" s="287">
        <v>0</v>
      </c>
      <c r="D1043" s="288">
        <f t="shared" si="223"/>
        <v>0</v>
      </c>
      <c r="E1043" s="287"/>
      <c r="F1043" s="287"/>
      <c r="G1043" s="287"/>
      <c r="H1043" s="287"/>
      <c r="I1043" s="302"/>
      <c r="J1043" s="303">
        <f t="shared" si="218"/>
        <v>0</v>
      </c>
      <c r="K1043" s="300" t="s">
        <v>3551</v>
      </c>
      <c r="L1043" s="301"/>
      <c r="M1043" s="312" t="s">
        <v>774</v>
      </c>
      <c r="N1043" s="312" t="s">
        <v>770</v>
      </c>
      <c r="O1043" s="312" t="s">
        <v>774</v>
      </c>
      <c r="P1043" s="313" t="s">
        <v>4309</v>
      </c>
    </row>
    <row r="1044" s="106" customFormat="1" ht="20.1" customHeight="1" spans="1:16">
      <c r="A1044" s="279" t="s">
        <v>3093</v>
      </c>
      <c r="B1044" s="41" t="s">
        <v>3094</v>
      </c>
      <c r="C1044" s="287">
        <v>0</v>
      </c>
      <c r="D1044" s="288">
        <f t="shared" si="223"/>
        <v>0</v>
      </c>
      <c r="E1044" s="287"/>
      <c r="F1044" s="287"/>
      <c r="G1044" s="287"/>
      <c r="H1044" s="287"/>
      <c r="I1044" s="302"/>
      <c r="J1044" s="303">
        <f t="shared" si="218"/>
        <v>0</v>
      </c>
      <c r="K1044" s="294" t="s">
        <v>3555</v>
      </c>
      <c r="L1044" s="44">
        <v>1</v>
      </c>
      <c r="M1044" s="308" t="s">
        <v>3088</v>
      </c>
      <c r="N1044" s="308"/>
      <c r="O1044" s="308" t="s">
        <v>774</v>
      </c>
      <c r="P1044" s="314" t="s">
        <v>3556</v>
      </c>
    </row>
    <row r="1045" s="106" customFormat="1" ht="20.1" customHeight="1" spans="1:16">
      <c r="A1045" s="279" t="s">
        <v>3095</v>
      </c>
      <c r="B1045" s="41" t="s">
        <v>3096</v>
      </c>
      <c r="C1045" s="287">
        <v>0</v>
      </c>
      <c r="D1045" s="288">
        <f t="shared" si="223"/>
        <v>0</v>
      </c>
      <c r="E1045" s="287"/>
      <c r="F1045" s="287"/>
      <c r="G1045" s="287"/>
      <c r="H1045" s="287"/>
      <c r="I1045" s="302"/>
      <c r="J1045" s="303">
        <f t="shared" si="218"/>
        <v>0</v>
      </c>
      <c r="K1045" s="294" t="s">
        <v>3555</v>
      </c>
      <c r="L1045" s="44">
        <v>1</v>
      </c>
      <c r="M1045" s="308" t="s">
        <v>3089</v>
      </c>
      <c r="N1045" s="308"/>
      <c r="O1045" s="308" t="s">
        <v>774</v>
      </c>
      <c r="P1045" s="314" t="s">
        <v>3557</v>
      </c>
    </row>
    <row r="1046" s="106" customFormat="1" ht="20.1" customHeight="1" spans="1:16">
      <c r="A1046" s="279" t="s">
        <v>3097</v>
      </c>
      <c r="B1046" s="41" t="s">
        <v>3098</v>
      </c>
      <c r="C1046" s="287">
        <v>0</v>
      </c>
      <c r="D1046" s="288">
        <f t="shared" si="223"/>
        <v>0</v>
      </c>
      <c r="E1046" s="287"/>
      <c r="F1046" s="287"/>
      <c r="G1046" s="287"/>
      <c r="H1046" s="287"/>
      <c r="I1046" s="302"/>
      <c r="J1046" s="303">
        <f t="shared" si="218"/>
        <v>0</v>
      </c>
      <c r="K1046" s="294" t="s">
        <v>3555</v>
      </c>
      <c r="L1046" s="44">
        <v>1</v>
      </c>
      <c r="M1046" s="308" t="s">
        <v>3090</v>
      </c>
      <c r="N1046" s="308"/>
      <c r="O1046" s="308" t="s">
        <v>774</v>
      </c>
      <c r="P1046" s="314" t="s">
        <v>3558</v>
      </c>
    </row>
    <row r="1047" s="106" customFormat="1" ht="20.1" customHeight="1" spans="1:16">
      <c r="A1047" s="279" t="s">
        <v>3099</v>
      </c>
      <c r="B1047" s="41" t="s">
        <v>3100</v>
      </c>
      <c r="C1047" s="287">
        <v>0</v>
      </c>
      <c r="D1047" s="288">
        <f t="shared" si="223"/>
        <v>0</v>
      </c>
      <c r="E1047" s="287"/>
      <c r="F1047" s="287"/>
      <c r="G1047" s="287"/>
      <c r="H1047" s="287"/>
      <c r="I1047" s="302"/>
      <c r="J1047" s="303">
        <f t="shared" si="218"/>
        <v>0</v>
      </c>
      <c r="K1047" s="294" t="s">
        <v>3555</v>
      </c>
      <c r="L1047" s="44">
        <v>1</v>
      </c>
      <c r="M1047" s="308" t="s">
        <v>3091</v>
      </c>
      <c r="N1047" s="308"/>
      <c r="O1047" s="308" t="s">
        <v>774</v>
      </c>
      <c r="P1047" s="309" t="s">
        <v>4310</v>
      </c>
    </row>
    <row r="1048" s="106" customFormat="1" ht="20.1" customHeight="1" spans="1:16">
      <c r="A1048" s="279" t="s">
        <v>3101</v>
      </c>
      <c r="B1048" s="41" t="s">
        <v>3102</v>
      </c>
      <c r="C1048" s="287">
        <v>0</v>
      </c>
      <c r="D1048" s="288">
        <f t="shared" si="223"/>
        <v>0</v>
      </c>
      <c r="E1048" s="287"/>
      <c r="F1048" s="287"/>
      <c r="G1048" s="287"/>
      <c r="H1048" s="287"/>
      <c r="I1048" s="302"/>
      <c r="J1048" s="303">
        <f t="shared" si="218"/>
        <v>0</v>
      </c>
      <c r="K1048" s="294" t="s">
        <v>3555</v>
      </c>
      <c r="L1048" s="44">
        <v>1</v>
      </c>
      <c r="M1048" s="308" t="s">
        <v>3093</v>
      </c>
      <c r="N1048" s="308"/>
      <c r="O1048" s="308" t="s">
        <v>774</v>
      </c>
      <c r="P1048" s="309" t="s">
        <v>4311</v>
      </c>
    </row>
    <row r="1049" s="106" customFormat="1" ht="20.1" customHeight="1" spans="1:16">
      <c r="A1049" s="279" t="s">
        <v>3103</v>
      </c>
      <c r="B1049" s="41" t="s">
        <v>3104</v>
      </c>
      <c r="C1049" s="287">
        <v>0</v>
      </c>
      <c r="D1049" s="288">
        <f t="shared" si="223"/>
        <v>0</v>
      </c>
      <c r="E1049" s="287"/>
      <c r="F1049" s="287"/>
      <c r="G1049" s="287"/>
      <c r="H1049" s="287"/>
      <c r="I1049" s="302"/>
      <c r="J1049" s="303">
        <f t="shared" si="218"/>
        <v>0</v>
      </c>
      <c r="K1049" s="294" t="s">
        <v>3555</v>
      </c>
      <c r="L1049" s="44">
        <v>1</v>
      </c>
      <c r="M1049" s="308" t="s">
        <v>3095</v>
      </c>
      <c r="N1049" s="308"/>
      <c r="O1049" s="308" t="s">
        <v>774</v>
      </c>
      <c r="P1049" s="309" t="s">
        <v>4312</v>
      </c>
    </row>
    <row r="1050" s="106" customFormat="1" ht="20.1" customHeight="1" spans="1:16">
      <c r="A1050" s="279" t="s">
        <v>3105</v>
      </c>
      <c r="B1050" s="41" t="s">
        <v>3106</v>
      </c>
      <c r="C1050" s="287">
        <v>0</v>
      </c>
      <c r="D1050" s="288">
        <f t="shared" si="223"/>
        <v>0</v>
      </c>
      <c r="E1050" s="287"/>
      <c r="F1050" s="287"/>
      <c r="G1050" s="287"/>
      <c r="H1050" s="287"/>
      <c r="I1050" s="302"/>
      <c r="J1050" s="303">
        <f t="shared" si="218"/>
        <v>0</v>
      </c>
      <c r="K1050" s="294" t="s">
        <v>3555</v>
      </c>
      <c r="L1050" s="44">
        <v>1</v>
      </c>
      <c r="M1050" s="308" t="s">
        <v>3097</v>
      </c>
      <c r="N1050" s="308"/>
      <c r="O1050" s="308" t="s">
        <v>774</v>
      </c>
      <c r="P1050" s="309" t="s">
        <v>4313</v>
      </c>
    </row>
    <row r="1051" s="106" customFormat="1" ht="20.1" customHeight="1" spans="1:16">
      <c r="A1051" s="279" t="s">
        <v>3107</v>
      </c>
      <c r="B1051" s="41" t="s">
        <v>3108</v>
      </c>
      <c r="C1051" s="287">
        <v>0</v>
      </c>
      <c r="D1051" s="288">
        <f t="shared" si="223"/>
        <v>0</v>
      </c>
      <c r="E1051" s="287"/>
      <c r="F1051" s="287"/>
      <c r="G1051" s="287"/>
      <c r="H1051" s="287"/>
      <c r="I1051" s="302"/>
      <c r="J1051" s="303">
        <f t="shared" si="218"/>
        <v>0</v>
      </c>
      <c r="K1051" s="294" t="s">
        <v>3555</v>
      </c>
      <c r="L1051" s="44">
        <v>1</v>
      </c>
      <c r="M1051" s="308" t="s">
        <v>3099</v>
      </c>
      <c r="N1051" s="308"/>
      <c r="O1051" s="308" t="s">
        <v>774</v>
      </c>
      <c r="P1051" s="309" t="s">
        <v>4314</v>
      </c>
    </row>
    <row r="1052" s="106" customFormat="1" ht="20.1" customHeight="1" spans="1:16">
      <c r="A1052" s="279" t="s">
        <v>3109</v>
      </c>
      <c r="B1052" s="41" t="s">
        <v>3110</v>
      </c>
      <c r="C1052" s="287">
        <v>0</v>
      </c>
      <c r="D1052" s="288">
        <f t="shared" si="223"/>
        <v>0</v>
      </c>
      <c r="E1052" s="287"/>
      <c r="F1052" s="287"/>
      <c r="G1052" s="287"/>
      <c r="H1052" s="287"/>
      <c r="I1052" s="302"/>
      <c r="J1052" s="303">
        <f t="shared" si="218"/>
        <v>0</v>
      </c>
      <c r="K1052" s="294" t="s">
        <v>3555</v>
      </c>
      <c r="L1052" s="44">
        <v>1</v>
      </c>
      <c r="M1052" s="308" t="s">
        <v>3101</v>
      </c>
      <c r="N1052" s="308"/>
      <c r="O1052" s="308" t="s">
        <v>774</v>
      </c>
      <c r="P1052" s="309" t="s">
        <v>4315</v>
      </c>
    </row>
    <row r="1053" s="106" customFormat="1" ht="20.1" customHeight="1" spans="1:16">
      <c r="A1053" s="279" t="s">
        <v>3111</v>
      </c>
      <c r="B1053" s="41" t="s">
        <v>3112</v>
      </c>
      <c r="C1053" s="287">
        <v>0</v>
      </c>
      <c r="D1053" s="288">
        <f t="shared" si="223"/>
        <v>0</v>
      </c>
      <c r="E1053" s="287"/>
      <c r="F1053" s="287"/>
      <c r="G1053" s="287"/>
      <c r="H1053" s="287"/>
      <c r="I1053" s="302"/>
      <c r="J1053" s="303">
        <f t="shared" si="218"/>
        <v>0</v>
      </c>
      <c r="K1053" s="294" t="s">
        <v>3555</v>
      </c>
      <c r="L1053" s="44">
        <v>1</v>
      </c>
      <c r="M1053" s="308" t="s">
        <v>3103</v>
      </c>
      <c r="N1053" s="308"/>
      <c r="O1053" s="308" t="s">
        <v>774</v>
      </c>
      <c r="P1053" s="309" t="s">
        <v>4316</v>
      </c>
    </row>
    <row r="1054" s="106" customFormat="1" ht="20.1" customHeight="1" spans="1:16">
      <c r="A1054" s="279" t="s">
        <v>3113</v>
      </c>
      <c r="B1054" s="41" t="s">
        <v>3114</v>
      </c>
      <c r="C1054" s="287">
        <v>256</v>
      </c>
      <c r="D1054" s="288">
        <f t="shared" si="223"/>
        <v>56</v>
      </c>
      <c r="E1054" s="287"/>
      <c r="F1054" s="287"/>
      <c r="G1054" s="287">
        <v>56</v>
      </c>
      <c r="H1054" s="287"/>
      <c r="I1054" s="302"/>
      <c r="J1054" s="303">
        <f t="shared" si="218"/>
        <v>21.88</v>
      </c>
      <c r="K1054" s="294" t="s">
        <v>3555</v>
      </c>
      <c r="L1054" s="44">
        <v>1</v>
      </c>
      <c r="M1054" s="308" t="s">
        <v>3105</v>
      </c>
      <c r="N1054" s="308"/>
      <c r="O1054" s="308" t="s">
        <v>774</v>
      </c>
      <c r="P1054" s="309" t="s">
        <v>4317</v>
      </c>
    </row>
    <row r="1055" s="106" customFormat="1" ht="20.1" customHeight="1" spans="1:16">
      <c r="A1055" s="283" t="s">
        <v>776</v>
      </c>
      <c r="B1055" s="323" t="s">
        <v>3115</v>
      </c>
      <c r="C1055" s="285">
        <f t="shared" ref="C1055:I1055" si="225">SUM(C1056:C1059)</f>
        <v>0</v>
      </c>
      <c r="D1055" s="285">
        <f t="shared" si="223"/>
        <v>0</v>
      </c>
      <c r="E1055" s="285">
        <f t="shared" si="225"/>
        <v>0</v>
      </c>
      <c r="F1055" s="285">
        <f t="shared" si="225"/>
        <v>0</v>
      </c>
      <c r="G1055" s="285">
        <f t="shared" si="225"/>
        <v>0</v>
      </c>
      <c r="H1055" s="285">
        <f t="shared" si="225"/>
        <v>0</v>
      </c>
      <c r="I1055" s="285">
        <f t="shared" si="225"/>
        <v>0</v>
      </c>
      <c r="J1055" s="324">
        <f t="shared" si="218"/>
        <v>0</v>
      </c>
      <c r="K1055" s="294" t="s">
        <v>3555</v>
      </c>
      <c r="L1055" s="44">
        <v>1</v>
      </c>
      <c r="M1055" s="308" t="s">
        <v>3107</v>
      </c>
      <c r="N1055" s="308"/>
      <c r="O1055" s="308" t="s">
        <v>774</v>
      </c>
      <c r="P1055" s="309" t="s">
        <v>4318</v>
      </c>
    </row>
    <row r="1056" s="106" customFormat="1" ht="20.1" customHeight="1" spans="1:16">
      <c r="A1056" s="279" t="s">
        <v>3116</v>
      </c>
      <c r="B1056" s="41" t="s">
        <v>1458</v>
      </c>
      <c r="C1056" s="287">
        <v>0</v>
      </c>
      <c r="D1056" s="288">
        <f t="shared" si="223"/>
        <v>0</v>
      </c>
      <c r="E1056" s="287"/>
      <c r="F1056" s="287"/>
      <c r="G1056" s="287"/>
      <c r="H1056" s="287"/>
      <c r="I1056" s="302"/>
      <c r="J1056" s="303">
        <f t="shared" si="218"/>
        <v>0</v>
      </c>
      <c r="K1056" s="294" t="s">
        <v>3555</v>
      </c>
      <c r="L1056" s="44">
        <v>1</v>
      </c>
      <c r="M1056" s="308" t="s">
        <v>3109</v>
      </c>
      <c r="N1056" s="308"/>
      <c r="O1056" s="308" t="s">
        <v>774</v>
      </c>
      <c r="P1056" s="309" t="s">
        <v>4319</v>
      </c>
    </row>
    <row r="1057" s="106" customFormat="1" ht="20.1" customHeight="1" spans="1:16">
      <c r="A1057" s="279" t="s">
        <v>3117</v>
      </c>
      <c r="B1057" s="41" t="s">
        <v>1460</v>
      </c>
      <c r="C1057" s="287">
        <v>0</v>
      </c>
      <c r="D1057" s="288">
        <f t="shared" si="223"/>
        <v>0</v>
      </c>
      <c r="E1057" s="287"/>
      <c r="F1057" s="287"/>
      <c r="G1057" s="287"/>
      <c r="H1057" s="287"/>
      <c r="I1057" s="302"/>
      <c r="J1057" s="303">
        <f t="shared" si="218"/>
        <v>0</v>
      </c>
      <c r="K1057" s="294" t="s">
        <v>3555</v>
      </c>
      <c r="L1057" s="44">
        <v>1</v>
      </c>
      <c r="M1057" s="308" t="s">
        <v>3111</v>
      </c>
      <c r="N1057" s="308"/>
      <c r="O1057" s="308" t="s">
        <v>774</v>
      </c>
      <c r="P1057" s="309" t="s">
        <v>4320</v>
      </c>
    </row>
    <row r="1058" s="106" customFormat="1" ht="20.1" customHeight="1" spans="1:16">
      <c r="A1058" s="279" t="s">
        <v>3118</v>
      </c>
      <c r="B1058" s="41" t="s">
        <v>1462</v>
      </c>
      <c r="C1058" s="287">
        <v>0</v>
      </c>
      <c r="D1058" s="288">
        <f t="shared" si="223"/>
        <v>0</v>
      </c>
      <c r="E1058" s="287"/>
      <c r="F1058" s="287"/>
      <c r="G1058" s="287"/>
      <c r="H1058" s="287"/>
      <c r="I1058" s="302"/>
      <c r="J1058" s="303">
        <f t="shared" si="218"/>
        <v>0</v>
      </c>
      <c r="K1058" s="294" t="s">
        <v>3555</v>
      </c>
      <c r="L1058" s="44">
        <v>1</v>
      </c>
      <c r="M1058" s="308" t="s">
        <v>3113</v>
      </c>
      <c r="N1058" s="308"/>
      <c r="O1058" s="308" t="s">
        <v>774</v>
      </c>
      <c r="P1058" s="309" t="s">
        <v>4321</v>
      </c>
    </row>
    <row r="1059" s="107" customFormat="1" ht="20.1" customHeight="1" spans="1:16">
      <c r="A1059" s="279" t="s">
        <v>3119</v>
      </c>
      <c r="B1059" s="41" t="s">
        <v>3120</v>
      </c>
      <c r="C1059" s="287">
        <v>0</v>
      </c>
      <c r="D1059" s="288">
        <f t="shared" si="223"/>
        <v>0</v>
      </c>
      <c r="E1059" s="287"/>
      <c r="F1059" s="287"/>
      <c r="G1059" s="287"/>
      <c r="H1059" s="287"/>
      <c r="I1059" s="302"/>
      <c r="J1059" s="303">
        <f t="shared" si="218"/>
        <v>0</v>
      </c>
      <c r="K1059" s="300" t="s">
        <v>3551</v>
      </c>
      <c r="L1059" s="301"/>
      <c r="M1059" s="312" t="s">
        <v>776</v>
      </c>
      <c r="N1059" s="312" t="s">
        <v>770</v>
      </c>
      <c r="O1059" s="312" t="s">
        <v>776</v>
      </c>
      <c r="P1059" s="313" t="s">
        <v>4322</v>
      </c>
    </row>
    <row r="1060" s="106" customFormat="1" ht="20.1" customHeight="1" spans="1:16">
      <c r="A1060" s="283" t="s">
        <v>778</v>
      </c>
      <c r="B1060" s="323" t="s">
        <v>3121</v>
      </c>
      <c r="C1060" s="285">
        <f t="shared" ref="C1060:I1060" si="226">SUM(C1061:C1070)</f>
        <v>0</v>
      </c>
      <c r="D1060" s="285">
        <f t="shared" si="223"/>
        <v>2</v>
      </c>
      <c r="E1060" s="285">
        <f t="shared" si="226"/>
        <v>0</v>
      </c>
      <c r="F1060" s="285">
        <f t="shared" si="226"/>
        <v>0</v>
      </c>
      <c r="G1060" s="285">
        <f t="shared" si="226"/>
        <v>2</v>
      </c>
      <c r="H1060" s="285">
        <f t="shared" si="226"/>
        <v>0</v>
      </c>
      <c r="I1060" s="285">
        <f t="shared" si="226"/>
        <v>0</v>
      </c>
      <c r="J1060" s="324">
        <f t="shared" si="218"/>
        <v>100</v>
      </c>
      <c r="K1060" s="294" t="s">
        <v>3555</v>
      </c>
      <c r="L1060" s="44">
        <v>1</v>
      </c>
      <c r="M1060" s="308" t="s">
        <v>3116</v>
      </c>
      <c r="N1060" s="308"/>
      <c r="O1060" s="308" t="s">
        <v>776</v>
      </c>
      <c r="P1060" s="314" t="s">
        <v>3556</v>
      </c>
    </row>
    <row r="1061" s="106" customFormat="1" ht="20.1" customHeight="1" spans="1:16">
      <c r="A1061" s="279" t="s">
        <v>3122</v>
      </c>
      <c r="B1061" s="41" t="s">
        <v>1458</v>
      </c>
      <c r="C1061" s="287">
        <v>0</v>
      </c>
      <c r="D1061" s="288">
        <f t="shared" si="223"/>
        <v>0</v>
      </c>
      <c r="E1061" s="287"/>
      <c r="F1061" s="287"/>
      <c r="G1061" s="287"/>
      <c r="H1061" s="287"/>
      <c r="I1061" s="302"/>
      <c r="J1061" s="303">
        <f t="shared" si="218"/>
        <v>0</v>
      </c>
      <c r="K1061" s="294" t="s">
        <v>3555</v>
      </c>
      <c r="L1061" s="44">
        <v>1</v>
      </c>
      <c r="M1061" s="308" t="s">
        <v>3117</v>
      </c>
      <c r="N1061" s="308"/>
      <c r="O1061" s="308" t="s">
        <v>776</v>
      </c>
      <c r="P1061" s="314" t="s">
        <v>3557</v>
      </c>
    </row>
    <row r="1062" s="106" customFormat="1" ht="20.1" customHeight="1" spans="1:16">
      <c r="A1062" s="279" t="s">
        <v>3123</v>
      </c>
      <c r="B1062" s="41" t="s">
        <v>1460</v>
      </c>
      <c r="C1062" s="287">
        <v>0</v>
      </c>
      <c r="D1062" s="288">
        <f t="shared" si="223"/>
        <v>0</v>
      </c>
      <c r="E1062" s="287"/>
      <c r="F1062" s="287"/>
      <c r="G1062" s="287"/>
      <c r="H1062" s="287"/>
      <c r="I1062" s="302"/>
      <c r="J1062" s="303">
        <f t="shared" si="218"/>
        <v>0</v>
      </c>
      <c r="K1062" s="294" t="s">
        <v>3555</v>
      </c>
      <c r="L1062" s="44">
        <v>1</v>
      </c>
      <c r="M1062" s="308" t="s">
        <v>3118</v>
      </c>
      <c r="N1062" s="308"/>
      <c r="O1062" s="308" t="s">
        <v>776</v>
      </c>
      <c r="P1062" s="314" t="s">
        <v>3558</v>
      </c>
    </row>
    <row r="1063" s="106" customFormat="1" ht="20.1" customHeight="1" spans="1:16">
      <c r="A1063" s="279" t="s">
        <v>3124</v>
      </c>
      <c r="B1063" s="41" t="s">
        <v>1462</v>
      </c>
      <c r="C1063" s="287">
        <v>0</v>
      </c>
      <c r="D1063" s="288">
        <f t="shared" si="223"/>
        <v>0</v>
      </c>
      <c r="E1063" s="287"/>
      <c r="F1063" s="287"/>
      <c r="G1063" s="287"/>
      <c r="H1063" s="287"/>
      <c r="I1063" s="302"/>
      <c r="J1063" s="303">
        <f t="shared" si="218"/>
        <v>0</v>
      </c>
      <c r="K1063" s="294" t="s">
        <v>3555</v>
      </c>
      <c r="L1063" s="44">
        <v>1</v>
      </c>
      <c r="M1063" s="308" t="s">
        <v>3119</v>
      </c>
      <c r="N1063" s="308"/>
      <c r="O1063" s="308" t="s">
        <v>776</v>
      </c>
      <c r="P1063" s="309" t="s">
        <v>4323</v>
      </c>
    </row>
    <row r="1064" s="107" customFormat="1" ht="20.1" customHeight="1" spans="1:16">
      <c r="A1064" s="279" t="s">
        <v>3125</v>
      </c>
      <c r="B1064" s="41" t="s">
        <v>3126</v>
      </c>
      <c r="C1064" s="287">
        <v>0</v>
      </c>
      <c r="D1064" s="288">
        <f t="shared" si="223"/>
        <v>0</v>
      </c>
      <c r="E1064" s="287"/>
      <c r="F1064" s="287"/>
      <c r="G1064" s="287"/>
      <c r="H1064" s="287"/>
      <c r="I1064" s="302"/>
      <c r="J1064" s="303">
        <f t="shared" si="218"/>
        <v>0</v>
      </c>
      <c r="K1064" s="300" t="s">
        <v>3551</v>
      </c>
      <c r="L1064" s="301"/>
      <c r="M1064" s="312" t="s">
        <v>778</v>
      </c>
      <c r="N1064" s="312" t="s">
        <v>770</v>
      </c>
      <c r="O1064" s="312" t="s">
        <v>778</v>
      </c>
      <c r="P1064" s="313" t="s">
        <v>4324</v>
      </c>
    </row>
    <row r="1065" s="106" customFormat="1" ht="20.1" customHeight="1" spans="1:16">
      <c r="A1065" s="279" t="s">
        <v>3127</v>
      </c>
      <c r="B1065" s="41" t="s">
        <v>3128</v>
      </c>
      <c r="C1065" s="287">
        <v>0</v>
      </c>
      <c r="D1065" s="288">
        <f t="shared" si="223"/>
        <v>0</v>
      </c>
      <c r="E1065" s="287"/>
      <c r="F1065" s="287"/>
      <c r="G1065" s="287"/>
      <c r="H1065" s="287"/>
      <c r="I1065" s="302"/>
      <c r="J1065" s="303">
        <f t="shared" si="218"/>
        <v>0</v>
      </c>
      <c r="K1065" s="294" t="s">
        <v>3555</v>
      </c>
      <c r="L1065" s="44">
        <v>1</v>
      </c>
      <c r="M1065" s="308" t="s">
        <v>3122</v>
      </c>
      <c r="N1065" s="308"/>
      <c r="O1065" s="308" t="s">
        <v>778</v>
      </c>
      <c r="P1065" s="314" t="s">
        <v>3556</v>
      </c>
    </row>
    <row r="1066" s="106" customFormat="1" ht="20.1" customHeight="1" spans="1:16">
      <c r="A1066" s="279" t="s">
        <v>3129</v>
      </c>
      <c r="B1066" s="41" t="s">
        <v>3130</v>
      </c>
      <c r="C1066" s="287">
        <v>0</v>
      </c>
      <c r="D1066" s="288">
        <f t="shared" si="223"/>
        <v>0</v>
      </c>
      <c r="E1066" s="287"/>
      <c r="F1066" s="287"/>
      <c r="G1066" s="287"/>
      <c r="H1066" s="287"/>
      <c r="I1066" s="302"/>
      <c r="J1066" s="303">
        <f t="shared" si="218"/>
        <v>0</v>
      </c>
      <c r="K1066" s="294" t="s">
        <v>3555</v>
      </c>
      <c r="L1066" s="44">
        <v>1</v>
      </c>
      <c r="M1066" s="308" t="s">
        <v>3123</v>
      </c>
      <c r="N1066" s="308"/>
      <c r="O1066" s="308" t="s">
        <v>778</v>
      </c>
      <c r="P1066" s="314" t="s">
        <v>3557</v>
      </c>
    </row>
    <row r="1067" s="106" customFormat="1" ht="20.1" customHeight="1" spans="1:16">
      <c r="A1067" s="279" t="s">
        <v>3131</v>
      </c>
      <c r="B1067" s="41" t="s">
        <v>3132</v>
      </c>
      <c r="C1067" s="287"/>
      <c r="D1067" s="288">
        <f t="shared" si="223"/>
        <v>0</v>
      </c>
      <c r="E1067" s="287"/>
      <c r="F1067" s="287"/>
      <c r="G1067" s="287"/>
      <c r="H1067" s="287"/>
      <c r="I1067" s="302"/>
      <c r="J1067" s="303">
        <f t="shared" si="218"/>
        <v>0</v>
      </c>
      <c r="K1067" s="294" t="s">
        <v>3555</v>
      </c>
      <c r="L1067" s="44">
        <v>1</v>
      </c>
      <c r="M1067" s="308" t="s">
        <v>3124</v>
      </c>
      <c r="N1067" s="308"/>
      <c r="O1067" s="308" t="s">
        <v>778</v>
      </c>
      <c r="P1067" s="314" t="s">
        <v>3558</v>
      </c>
    </row>
    <row r="1068" s="106" customFormat="1" ht="20.1" customHeight="1" spans="1:16">
      <c r="A1068" s="279" t="s">
        <v>3133</v>
      </c>
      <c r="B1068" s="41" t="s">
        <v>3134</v>
      </c>
      <c r="C1068" s="287"/>
      <c r="D1068" s="288">
        <f t="shared" si="223"/>
        <v>0</v>
      </c>
      <c r="E1068" s="287"/>
      <c r="F1068" s="287"/>
      <c r="G1068" s="287"/>
      <c r="H1068" s="287"/>
      <c r="I1068" s="302"/>
      <c r="J1068" s="303">
        <f t="shared" si="218"/>
        <v>0</v>
      </c>
      <c r="K1068" s="294" t="s">
        <v>3555</v>
      </c>
      <c r="L1068" s="44">
        <v>1</v>
      </c>
      <c r="M1068" s="308" t="s">
        <v>3125</v>
      </c>
      <c r="N1068" s="308"/>
      <c r="O1068" s="308" t="s">
        <v>778</v>
      </c>
      <c r="P1068" s="309" t="s">
        <v>4325</v>
      </c>
    </row>
    <row r="1069" s="106" customFormat="1" ht="20.1" customHeight="1" spans="1:16">
      <c r="A1069" s="279" t="s">
        <v>3135</v>
      </c>
      <c r="B1069" s="41" t="s">
        <v>1476</v>
      </c>
      <c r="C1069" s="287"/>
      <c r="D1069" s="288">
        <f t="shared" si="223"/>
        <v>0</v>
      </c>
      <c r="E1069" s="287"/>
      <c r="F1069" s="287"/>
      <c r="G1069" s="287"/>
      <c r="H1069" s="287"/>
      <c r="I1069" s="302"/>
      <c r="J1069" s="303">
        <f t="shared" si="218"/>
        <v>0</v>
      </c>
      <c r="K1069" s="294" t="s">
        <v>3555</v>
      </c>
      <c r="L1069" s="44">
        <v>1</v>
      </c>
      <c r="M1069" s="308" t="s">
        <v>3127</v>
      </c>
      <c r="N1069" s="308"/>
      <c r="O1069" s="308" t="s">
        <v>778</v>
      </c>
      <c r="P1069" s="309" t="s">
        <v>4326</v>
      </c>
    </row>
    <row r="1070" s="106" customFormat="1" ht="20.1" customHeight="1" spans="1:16">
      <c r="A1070" s="279" t="s">
        <v>3136</v>
      </c>
      <c r="B1070" s="41" t="s">
        <v>3137</v>
      </c>
      <c r="C1070" s="287"/>
      <c r="D1070" s="288">
        <f t="shared" si="223"/>
        <v>2</v>
      </c>
      <c r="E1070" s="287"/>
      <c r="F1070" s="287"/>
      <c r="G1070" s="287">
        <v>2</v>
      </c>
      <c r="H1070" s="287"/>
      <c r="I1070" s="302"/>
      <c r="J1070" s="303">
        <f t="shared" si="218"/>
        <v>100</v>
      </c>
      <c r="K1070" s="294" t="s">
        <v>3555</v>
      </c>
      <c r="L1070" s="44">
        <v>1</v>
      </c>
      <c r="M1070" s="308" t="s">
        <v>3129</v>
      </c>
      <c r="N1070" s="308"/>
      <c r="O1070" s="308" t="s">
        <v>778</v>
      </c>
      <c r="P1070" s="309" t="s">
        <v>4327</v>
      </c>
    </row>
    <row r="1071" s="106" customFormat="1" ht="20.1" customHeight="1" spans="1:16">
      <c r="A1071" s="283" t="s">
        <v>780</v>
      </c>
      <c r="B1071" s="323" t="s">
        <v>3138</v>
      </c>
      <c r="C1071" s="285">
        <f t="shared" ref="C1071:I1071" si="227">SUM(C1072:C1077)</f>
        <v>0</v>
      </c>
      <c r="D1071" s="285">
        <f t="shared" si="223"/>
        <v>0</v>
      </c>
      <c r="E1071" s="285">
        <f t="shared" si="227"/>
        <v>0</v>
      </c>
      <c r="F1071" s="285">
        <f t="shared" si="227"/>
        <v>0</v>
      </c>
      <c r="G1071" s="285">
        <f t="shared" si="227"/>
        <v>0</v>
      </c>
      <c r="H1071" s="285">
        <f t="shared" si="227"/>
        <v>0</v>
      </c>
      <c r="I1071" s="285">
        <f t="shared" si="227"/>
        <v>0</v>
      </c>
      <c r="J1071" s="324">
        <f t="shared" si="218"/>
        <v>0</v>
      </c>
      <c r="K1071" s="294" t="s">
        <v>3555</v>
      </c>
      <c r="L1071" s="44">
        <v>1</v>
      </c>
      <c r="M1071" s="308" t="s">
        <v>3131</v>
      </c>
      <c r="N1071" s="308"/>
      <c r="O1071" s="308" t="s">
        <v>778</v>
      </c>
      <c r="P1071" s="340" t="s">
        <v>4328</v>
      </c>
    </row>
    <row r="1072" s="106" customFormat="1" ht="20.1" customHeight="1" spans="1:16">
      <c r="A1072" s="279" t="s">
        <v>3139</v>
      </c>
      <c r="B1072" s="41" t="s">
        <v>1458</v>
      </c>
      <c r="C1072" s="287">
        <v>0</v>
      </c>
      <c r="D1072" s="288">
        <f t="shared" si="223"/>
        <v>0</v>
      </c>
      <c r="E1072" s="287"/>
      <c r="F1072" s="287"/>
      <c r="G1072" s="287"/>
      <c r="H1072" s="287"/>
      <c r="I1072" s="302"/>
      <c r="J1072" s="303">
        <f t="shared" si="218"/>
        <v>0</v>
      </c>
      <c r="K1072" s="294" t="s">
        <v>3555</v>
      </c>
      <c r="L1072" s="44">
        <v>1</v>
      </c>
      <c r="M1072" s="308" t="s">
        <v>3133</v>
      </c>
      <c r="N1072" s="308"/>
      <c r="O1072" s="308" t="s">
        <v>778</v>
      </c>
      <c r="P1072" s="340" t="s">
        <v>4329</v>
      </c>
    </row>
    <row r="1073" s="106" customFormat="1" ht="20.1" customHeight="1" spans="1:16">
      <c r="A1073" s="279" t="s">
        <v>3140</v>
      </c>
      <c r="B1073" s="41" t="s">
        <v>1460</v>
      </c>
      <c r="C1073" s="287">
        <v>0</v>
      </c>
      <c r="D1073" s="288">
        <f t="shared" si="223"/>
        <v>0</v>
      </c>
      <c r="E1073" s="287"/>
      <c r="F1073" s="287"/>
      <c r="G1073" s="287"/>
      <c r="H1073" s="287"/>
      <c r="I1073" s="302"/>
      <c r="J1073" s="303">
        <f t="shared" si="218"/>
        <v>0</v>
      </c>
      <c r="K1073" s="294" t="s">
        <v>3555</v>
      </c>
      <c r="L1073" s="44">
        <v>1</v>
      </c>
      <c r="M1073" s="308" t="s">
        <v>3135</v>
      </c>
      <c r="N1073" s="308"/>
      <c r="O1073" s="308" t="s">
        <v>778</v>
      </c>
      <c r="P1073" s="340" t="s">
        <v>3565</v>
      </c>
    </row>
    <row r="1074" s="106" customFormat="1" ht="20.1" customHeight="1" spans="1:16">
      <c r="A1074" s="279" t="s">
        <v>3141</v>
      </c>
      <c r="B1074" s="41" t="s">
        <v>1462</v>
      </c>
      <c r="C1074" s="287">
        <v>0</v>
      </c>
      <c r="D1074" s="288">
        <f t="shared" si="223"/>
        <v>0</v>
      </c>
      <c r="E1074" s="287"/>
      <c r="F1074" s="287"/>
      <c r="G1074" s="287"/>
      <c r="H1074" s="287"/>
      <c r="I1074" s="302"/>
      <c r="J1074" s="303">
        <f t="shared" si="218"/>
        <v>0</v>
      </c>
      <c r="K1074" s="294" t="s">
        <v>3555</v>
      </c>
      <c r="L1074" s="44">
        <v>1</v>
      </c>
      <c r="M1074" s="308" t="s">
        <v>3136</v>
      </c>
      <c r="N1074" s="308"/>
      <c r="O1074" s="308" t="s">
        <v>778</v>
      </c>
      <c r="P1074" s="309" t="s">
        <v>4330</v>
      </c>
    </row>
    <row r="1075" s="107" customFormat="1" ht="20.1" customHeight="1" spans="1:16">
      <c r="A1075" s="279" t="s">
        <v>3142</v>
      </c>
      <c r="B1075" s="41" t="s">
        <v>3143</v>
      </c>
      <c r="C1075" s="287">
        <v>0</v>
      </c>
      <c r="D1075" s="288">
        <f t="shared" si="223"/>
        <v>0</v>
      </c>
      <c r="E1075" s="287"/>
      <c r="F1075" s="287"/>
      <c r="G1075" s="287"/>
      <c r="H1075" s="287"/>
      <c r="I1075" s="302"/>
      <c r="J1075" s="303">
        <f t="shared" si="218"/>
        <v>0</v>
      </c>
      <c r="K1075" s="300" t="s">
        <v>3551</v>
      </c>
      <c r="L1075" s="301"/>
      <c r="M1075" s="312" t="s">
        <v>780</v>
      </c>
      <c r="N1075" s="312" t="s">
        <v>770</v>
      </c>
      <c r="O1075" s="312" t="s">
        <v>780</v>
      </c>
      <c r="P1075" s="313" t="s">
        <v>4331</v>
      </c>
    </row>
    <row r="1076" s="106" customFormat="1" ht="20.1" customHeight="1" spans="1:16">
      <c r="A1076" s="279" t="s">
        <v>3144</v>
      </c>
      <c r="B1076" s="41" t="s">
        <v>3145</v>
      </c>
      <c r="C1076" s="287"/>
      <c r="D1076" s="288">
        <f t="shared" si="223"/>
        <v>0</v>
      </c>
      <c r="E1076" s="287"/>
      <c r="F1076" s="287"/>
      <c r="G1076" s="287"/>
      <c r="H1076" s="287"/>
      <c r="I1076" s="302"/>
      <c r="J1076" s="303"/>
      <c r="K1076" s="294" t="s">
        <v>3555</v>
      </c>
      <c r="L1076" s="44">
        <v>1</v>
      </c>
      <c r="M1076" s="308" t="s">
        <v>3139</v>
      </c>
      <c r="N1076" s="308"/>
      <c r="O1076" s="308" t="s">
        <v>780</v>
      </c>
      <c r="P1076" s="314" t="s">
        <v>3556</v>
      </c>
    </row>
    <row r="1077" s="106" customFormat="1" ht="20.1" customHeight="1" spans="1:16">
      <c r="A1077" s="279" t="s">
        <v>3146</v>
      </c>
      <c r="B1077" s="41" t="s">
        <v>3147</v>
      </c>
      <c r="C1077" s="287"/>
      <c r="D1077" s="288">
        <f t="shared" si="223"/>
        <v>0</v>
      </c>
      <c r="E1077" s="287"/>
      <c r="F1077" s="287"/>
      <c r="G1077" s="287"/>
      <c r="H1077" s="287"/>
      <c r="I1077" s="302"/>
      <c r="J1077" s="303">
        <f t="shared" ref="J1077:J1083" si="228">ROUND(IF(C1077=0,IF(D1077=0,0,1),IF(D1077=0,-1,D1077/C1077)),4)*100</f>
        <v>0</v>
      </c>
      <c r="K1077" s="294" t="s">
        <v>3555</v>
      </c>
      <c r="L1077" s="44">
        <v>1</v>
      </c>
      <c r="M1077" s="308" t="s">
        <v>3140</v>
      </c>
      <c r="N1077" s="308"/>
      <c r="O1077" s="308" t="s">
        <v>780</v>
      </c>
      <c r="P1077" s="314" t="s">
        <v>3557</v>
      </c>
    </row>
    <row r="1078" s="106" customFormat="1" ht="20.1" customHeight="1" spans="1:16">
      <c r="A1078" s="283" t="s">
        <v>782</v>
      </c>
      <c r="B1078" s="323" t="s">
        <v>3148</v>
      </c>
      <c r="C1078" s="285">
        <f t="shared" ref="C1078:I1078" si="229">SUM(C1079:C1085)</f>
        <v>0</v>
      </c>
      <c r="D1078" s="285">
        <f t="shared" si="223"/>
        <v>0</v>
      </c>
      <c r="E1078" s="285">
        <f t="shared" si="229"/>
        <v>0</v>
      </c>
      <c r="F1078" s="285">
        <f t="shared" si="229"/>
        <v>0</v>
      </c>
      <c r="G1078" s="285">
        <f t="shared" si="229"/>
        <v>0</v>
      </c>
      <c r="H1078" s="285">
        <f t="shared" si="229"/>
        <v>0</v>
      </c>
      <c r="I1078" s="285">
        <f t="shared" si="229"/>
        <v>0</v>
      </c>
      <c r="J1078" s="324">
        <f t="shared" si="228"/>
        <v>0</v>
      </c>
      <c r="K1078" s="294" t="s">
        <v>3555</v>
      </c>
      <c r="L1078" s="44">
        <v>1</v>
      </c>
      <c r="M1078" s="308" t="s">
        <v>3141</v>
      </c>
      <c r="N1078" s="308"/>
      <c r="O1078" s="308" t="s">
        <v>780</v>
      </c>
      <c r="P1078" s="314" t="s">
        <v>3558</v>
      </c>
    </row>
    <row r="1079" s="106" customFormat="1" ht="20.1" customHeight="1" spans="1:16">
      <c r="A1079" s="279" t="s">
        <v>3149</v>
      </c>
      <c r="B1079" s="41" t="s">
        <v>1458</v>
      </c>
      <c r="C1079" s="287"/>
      <c r="D1079" s="288">
        <f t="shared" si="223"/>
        <v>0</v>
      </c>
      <c r="E1079" s="287"/>
      <c r="F1079" s="287"/>
      <c r="G1079" s="287"/>
      <c r="H1079" s="287"/>
      <c r="I1079" s="302"/>
      <c r="J1079" s="303">
        <f t="shared" si="228"/>
        <v>0</v>
      </c>
      <c r="K1079" s="294" t="s">
        <v>3555</v>
      </c>
      <c r="L1079" s="44">
        <v>1</v>
      </c>
      <c r="M1079" s="308" t="s">
        <v>3142</v>
      </c>
      <c r="N1079" s="308"/>
      <c r="O1079" s="308" t="s">
        <v>780</v>
      </c>
      <c r="P1079" s="309" t="s">
        <v>4332</v>
      </c>
    </row>
    <row r="1080" s="106" customFormat="1" ht="20.1" customHeight="1" spans="1:16">
      <c r="A1080" s="279" t="s">
        <v>3150</v>
      </c>
      <c r="B1080" s="41" t="s">
        <v>1460</v>
      </c>
      <c r="C1080" s="287">
        <v>0</v>
      </c>
      <c r="D1080" s="288">
        <f t="shared" si="223"/>
        <v>0</v>
      </c>
      <c r="E1080" s="287"/>
      <c r="F1080" s="287"/>
      <c r="G1080" s="287"/>
      <c r="H1080" s="287"/>
      <c r="I1080" s="302"/>
      <c r="J1080" s="303">
        <f t="shared" si="228"/>
        <v>0</v>
      </c>
      <c r="K1080" s="294" t="s">
        <v>3555</v>
      </c>
      <c r="L1080" s="44">
        <v>1</v>
      </c>
      <c r="M1080" s="308" t="s">
        <v>3144</v>
      </c>
      <c r="N1080" s="308"/>
      <c r="O1080" s="308" t="s">
        <v>780</v>
      </c>
      <c r="P1080" s="308" t="s">
        <v>4333</v>
      </c>
    </row>
    <row r="1081" s="106" customFormat="1" ht="20.1" customHeight="1" spans="1:16">
      <c r="A1081" s="279" t="s">
        <v>3151</v>
      </c>
      <c r="B1081" s="41" t="s">
        <v>1462</v>
      </c>
      <c r="C1081" s="287">
        <v>0</v>
      </c>
      <c r="D1081" s="288">
        <f t="shared" si="223"/>
        <v>0</v>
      </c>
      <c r="E1081" s="287"/>
      <c r="F1081" s="287"/>
      <c r="G1081" s="287"/>
      <c r="H1081" s="287"/>
      <c r="I1081" s="302"/>
      <c r="J1081" s="303">
        <f t="shared" si="228"/>
        <v>0</v>
      </c>
      <c r="K1081" s="294" t="s">
        <v>3555</v>
      </c>
      <c r="L1081" s="44">
        <v>1</v>
      </c>
      <c r="M1081" s="308" t="s">
        <v>3146</v>
      </c>
      <c r="N1081" s="308"/>
      <c r="O1081" s="308" t="s">
        <v>780</v>
      </c>
      <c r="P1081" s="309" t="s">
        <v>4334</v>
      </c>
    </row>
    <row r="1082" s="107" customFormat="1" ht="20.1" customHeight="1" spans="1:16">
      <c r="A1082" s="279" t="s">
        <v>3152</v>
      </c>
      <c r="B1082" s="41" t="s">
        <v>3153</v>
      </c>
      <c r="C1082" s="287">
        <v>0</v>
      </c>
      <c r="D1082" s="288">
        <f t="shared" si="223"/>
        <v>0</v>
      </c>
      <c r="E1082" s="287"/>
      <c r="F1082" s="287"/>
      <c r="G1082" s="287"/>
      <c r="H1082" s="287"/>
      <c r="I1082" s="302"/>
      <c r="J1082" s="303">
        <f t="shared" si="228"/>
        <v>0</v>
      </c>
      <c r="K1082" s="300" t="s">
        <v>3551</v>
      </c>
      <c r="L1082" s="301"/>
      <c r="M1082" s="312" t="s">
        <v>782</v>
      </c>
      <c r="N1082" s="312" t="s">
        <v>770</v>
      </c>
      <c r="O1082" s="312" t="s">
        <v>782</v>
      </c>
      <c r="P1082" s="313" t="s">
        <v>4335</v>
      </c>
    </row>
    <row r="1083" s="106" customFormat="1" ht="20.1" customHeight="1" spans="1:16">
      <c r="A1083" s="279" t="s">
        <v>3154</v>
      </c>
      <c r="B1083" s="41" t="s">
        <v>3155</v>
      </c>
      <c r="C1083" s="287">
        <v>0</v>
      </c>
      <c r="D1083" s="288">
        <f t="shared" si="223"/>
        <v>0</v>
      </c>
      <c r="E1083" s="287"/>
      <c r="F1083" s="287"/>
      <c r="G1083" s="287"/>
      <c r="H1083" s="287"/>
      <c r="I1083" s="302"/>
      <c r="J1083" s="303">
        <f t="shared" si="228"/>
        <v>0</v>
      </c>
      <c r="K1083" s="294" t="s">
        <v>3555</v>
      </c>
      <c r="L1083" s="44">
        <v>1</v>
      </c>
      <c r="M1083" s="308" t="s">
        <v>3149</v>
      </c>
      <c r="N1083" s="308"/>
      <c r="O1083" s="308" t="s">
        <v>782</v>
      </c>
      <c r="P1083" s="314" t="s">
        <v>3556</v>
      </c>
    </row>
    <row r="1084" s="106" customFormat="1" ht="20.1" customHeight="1" spans="1:16">
      <c r="A1084" s="279" t="s">
        <v>3156</v>
      </c>
      <c r="B1084" s="41" t="s">
        <v>3157</v>
      </c>
      <c r="C1084" s="287"/>
      <c r="D1084" s="288">
        <f t="shared" si="223"/>
        <v>0</v>
      </c>
      <c r="E1084" s="287"/>
      <c r="F1084" s="287"/>
      <c r="G1084" s="287"/>
      <c r="H1084" s="287"/>
      <c r="I1084" s="302"/>
      <c r="J1084" s="303"/>
      <c r="K1084" s="294" t="s">
        <v>3555</v>
      </c>
      <c r="L1084" s="44">
        <v>1</v>
      </c>
      <c r="M1084" s="308" t="s">
        <v>3150</v>
      </c>
      <c r="N1084" s="308"/>
      <c r="O1084" s="308" t="s">
        <v>782</v>
      </c>
      <c r="P1084" s="314" t="s">
        <v>3557</v>
      </c>
    </row>
    <row r="1085" s="106" customFormat="1" ht="20.1" customHeight="1" spans="1:16">
      <c r="A1085" s="279" t="s">
        <v>3158</v>
      </c>
      <c r="B1085" s="41" t="s">
        <v>3159</v>
      </c>
      <c r="C1085" s="287"/>
      <c r="D1085" s="288">
        <f t="shared" si="223"/>
        <v>0</v>
      </c>
      <c r="E1085" s="287"/>
      <c r="F1085" s="287"/>
      <c r="G1085" s="287"/>
      <c r="H1085" s="287"/>
      <c r="I1085" s="302"/>
      <c r="J1085" s="303">
        <f t="shared" ref="J1085:J1119" si="230">ROUND(IF(C1085=0,IF(D1085=0,0,1),IF(D1085=0,-1,D1085/C1085)),4)*100</f>
        <v>0</v>
      </c>
      <c r="K1085" s="294" t="s">
        <v>3555</v>
      </c>
      <c r="L1085" s="44">
        <v>1</v>
      </c>
      <c r="M1085" s="308" t="s">
        <v>3151</v>
      </c>
      <c r="N1085" s="308"/>
      <c r="O1085" s="308" t="s">
        <v>782</v>
      </c>
      <c r="P1085" s="314" t="s">
        <v>3558</v>
      </c>
    </row>
    <row r="1086" s="106" customFormat="1" ht="20.1" customHeight="1" spans="1:16">
      <c r="A1086" s="283" t="s">
        <v>784</v>
      </c>
      <c r="B1086" s="323" t="s">
        <v>3160</v>
      </c>
      <c r="C1086" s="285">
        <f t="shared" ref="C1086:I1086" si="231">SUM(C1087:C1091)</f>
        <v>600</v>
      </c>
      <c r="D1086" s="285">
        <f t="shared" si="223"/>
        <v>0</v>
      </c>
      <c r="E1086" s="285">
        <f t="shared" si="231"/>
        <v>0</v>
      </c>
      <c r="F1086" s="285">
        <f t="shared" si="231"/>
        <v>0</v>
      </c>
      <c r="G1086" s="285">
        <f t="shared" si="231"/>
        <v>0</v>
      </c>
      <c r="H1086" s="285">
        <f t="shared" si="231"/>
        <v>0</v>
      </c>
      <c r="I1086" s="285">
        <f t="shared" si="231"/>
        <v>0</v>
      </c>
      <c r="J1086" s="324">
        <f t="shared" si="230"/>
        <v>-100</v>
      </c>
      <c r="K1086" s="294" t="s">
        <v>3555</v>
      </c>
      <c r="L1086" s="44">
        <v>1</v>
      </c>
      <c r="M1086" s="308" t="s">
        <v>3152</v>
      </c>
      <c r="N1086" s="308"/>
      <c r="O1086" s="308" t="s">
        <v>782</v>
      </c>
      <c r="P1086" s="309" t="s">
        <v>4336</v>
      </c>
    </row>
    <row r="1087" s="106" customFormat="1" ht="20.1" customHeight="1" spans="1:16">
      <c r="A1087" s="279" t="s">
        <v>3161</v>
      </c>
      <c r="B1087" s="41" t="s">
        <v>3162</v>
      </c>
      <c r="C1087" s="287">
        <v>0</v>
      </c>
      <c r="D1087" s="288">
        <f t="shared" si="223"/>
        <v>0</v>
      </c>
      <c r="E1087" s="287"/>
      <c r="F1087" s="287"/>
      <c r="G1087" s="287"/>
      <c r="H1087" s="287"/>
      <c r="I1087" s="302"/>
      <c r="J1087" s="303">
        <f t="shared" si="230"/>
        <v>0</v>
      </c>
      <c r="K1087" s="294" t="s">
        <v>3555</v>
      </c>
      <c r="L1087" s="44">
        <v>1</v>
      </c>
      <c r="M1087" s="308" t="s">
        <v>3154</v>
      </c>
      <c r="N1087" s="308"/>
      <c r="O1087" s="308" t="s">
        <v>782</v>
      </c>
      <c r="P1087" s="309" t="s">
        <v>4337</v>
      </c>
    </row>
    <row r="1088" s="106" customFormat="1" ht="20.1" customHeight="1" spans="1:16">
      <c r="A1088" s="279" t="s">
        <v>3163</v>
      </c>
      <c r="B1088" s="41" t="s">
        <v>3164</v>
      </c>
      <c r="C1088" s="287">
        <v>0</v>
      </c>
      <c r="D1088" s="288">
        <f t="shared" si="223"/>
        <v>0</v>
      </c>
      <c r="E1088" s="287"/>
      <c r="F1088" s="287"/>
      <c r="G1088" s="287"/>
      <c r="H1088" s="287"/>
      <c r="I1088" s="302"/>
      <c r="J1088" s="303">
        <f t="shared" si="230"/>
        <v>0</v>
      </c>
      <c r="K1088" s="294" t="s">
        <v>3555</v>
      </c>
      <c r="L1088" s="44">
        <v>1</v>
      </c>
      <c r="M1088" s="308" t="s">
        <v>3156</v>
      </c>
      <c r="N1088" s="308"/>
      <c r="O1088" s="308" t="s">
        <v>782</v>
      </c>
      <c r="P1088" s="309" t="s">
        <v>4338</v>
      </c>
    </row>
    <row r="1089" s="106" customFormat="1" ht="20.1" customHeight="1" spans="1:16">
      <c r="A1089" s="279" t="s">
        <v>3165</v>
      </c>
      <c r="B1089" s="41" t="s">
        <v>3166</v>
      </c>
      <c r="C1089" s="287">
        <v>0</v>
      </c>
      <c r="D1089" s="288">
        <f t="shared" si="223"/>
        <v>0</v>
      </c>
      <c r="E1089" s="287"/>
      <c r="F1089" s="287"/>
      <c r="G1089" s="287"/>
      <c r="H1089" s="287"/>
      <c r="I1089" s="302"/>
      <c r="J1089" s="303">
        <f t="shared" si="230"/>
        <v>0</v>
      </c>
      <c r="K1089" s="294" t="s">
        <v>3555</v>
      </c>
      <c r="L1089" s="44">
        <v>1</v>
      </c>
      <c r="M1089" s="308" t="s">
        <v>3158</v>
      </c>
      <c r="N1089" s="308"/>
      <c r="O1089" s="308" t="s">
        <v>782</v>
      </c>
      <c r="P1089" s="309" t="s">
        <v>4339</v>
      </c>
    </row>
    <row r="1090" s="107" customFormat="1" ht="20.1" customHeight="1" spans="1:16">
      <c r="A1090" s="279" t="s">
        <v>3167</v>
      </c>
      <c r="B1090" s="41" t="s">
        <v>3168</v>
      </c>
      <c r="C1090" s="287">
        <v>0</v>
      </c>
      <c r="D1090" s="288">
        <f t="shared" si="223"/>
        <v>0</v>
      </c>
      <c r="E1090" s="287"/>
      <c r="F1090" s="287"/>
      <c r="G1090" s="287"/>
      <c r="H1090" s="287"/>
      <c r="I1090" s="302"/>
      <c r="J1090" s="303">
        <f t="shared" si="230"/>
        <v>0</v>
      </c>
      <c r="K1090" s="300" t="s">
        <v>3551</v>
      </c>
      <c r="L1090" s="301"/>
      <c r="M1090" s="312" t="s">
        <v>784</v>
      </c>
      <c r="N1090" s="312" t="s">
        <v>770</v>
      </c>
      <c r="O1090" s="312" t="s">
        <v>784</v>
      </c>
      <c r="P1090" s="313" t="s">
        <v>4340</v>
      </c>
    </row>
    <row r="1091" s="106" customFormat="1" ht="20.1" customHeight="1" spans="1:16">
      <c r="A1091" s="279" t="s">
        <v>3169</v>
      </c>
      <c r="B1091" s="41" t="s">
        <v>785</v>
      </c>
      <c r="C1091" s="287">
        <v>600</v>
      </c>
      <c r="D1091" s="288">
        <f t="shared" si="223"/>
        <v>0</v>
      </c>
      <c r="E1091" s="287"/>
      <c r="F1091" s="287"/>
      <c r="G1091" s="287"/>
      <c r="H1091" s="287"/>
      <c r="I1091" s="302"/>
      <c r="J1091" s="303">
        <f t="shared" si="230"/>
        <v>-100</v>
      </c>
      <c r="K1091" s="294" t="s">
        <v>3555</v>
      </c>
      <c r="L1091" s="44">
        <v>1</v>
      </c>
      <c r="M1091" s="308" t="s">
        <v>3161</v>
      </c>
      <c r="N1091" s="308"/>
      <c r="O1091" s="308" t="s">
        <v>784</v>
      </c>
      <c r="P1091" s="309" t="s">
        <v>4341</v>
      </c>
    </row>
    <row r="1092" s="106" customFormat="1" ht="20.1" customHeight="1" spans="1:16">
      <c r="A1092" s="280" t="s">
        <v>786</v>
      </c>
      <c r="B1092" s="281" t="s">
        <v>787</v>
      </c>
      <c r="C1092" s="282">
        <f t="shared" ref="C1092:I1092" si="232">C1093+C1103+C1109</f>
        <v>128</v>
      </c>
      <c r="D1092" s="282">
        <f t="shared" si="223"/>
        <v>243</v>
      </c>
      <c r="E1092" s="282">
        <f t="shared" si="232"/>
        <v>0</v>
      </c>
      <c r="F1092" s="282">
        <f t="shared" si="232"/>
        <v>0</v>
      </c>
      <c r="G1092" s="282">
        <f t="shared" si="232"/>
        <v>145</v>
      </c>
      <c r="H1092" s="282">
        <f t="shared" si="232"/>
        <v>0</v>
      </c>
      <c r="I1092" s="282">
        <f t="shared" si="232"/>
        <v>98</v>
      </c>
      <c r="J1092" s="296">
        <f t="shared" si="230"/>
        <v>189.84</v>
      </c>
      <c r="K1092" s="294" t="s">
        <v>3555</v>
      </c>
      <c r="L1092" s="44">
        <v>1</v>
      </c>
      <c r="M1092" s="308" t="s">
        <v>3163</v>
      </c>
      <c r="N1092" s="308"/>
      <c r="O1092" s="308" t="s">
        <v>784</v>
      </c>
      <c r="P1092" s="309" t="s">
        <v>4342</v>
      </c>
    </row>
    <row r="1093" s="106" customFormat="1" ht="20.1" customHeight="1" spans="1:16">
      <c r="A1093" s="283" t="s">
        <v>788</v>
      </c>
      <c r="B1093" s="323" t="s">
        <v>3170</v>
      </c>
      <c r="C1093" s="285">
        <f t="shared" ref="C1093:I1093" si="233">SUM(C1094:C1102)</f>
        <v>128</v>
      </c>
      <c r="D1093" s="285">
        <f t="shared" si="223"/>
        <v>243</v>
      </c>
      <c r="E1093" s="285">
        <f t="shared" si="233"/>
        <v>0</v>
      </c>
      <c r="F1093" s="285">
        <f t="shared" si="233"/>
        <v>0</v>
      </c>
      <c r="G1093" s="285">
        <f t="shared" si="233"/>
        <v>145</v>
      </c>
      <c r="H1093" s="285">
        <f t="shared" si="233"/>
        <v>0</v>
      </c>
      <c r="I1093" s="285">
        <f t="shared" si="233"/>
        <v>98</v>
      </c>
      <c r="J1093" s="324">
        <f t="shared" si="230"/>
        <v>189.84</v>
      </c>
      <c r="K1093" s="294" t="s">
        <v>3555</v>
      </c>
      <c r="L1093" s="44">
        <v>1</v>
      </c>
      <c r="M1093" s="308" t="s">
        <v>3165</v>
      </c>
      <c r="N1093" s="308"/>
      <c r="O1093" s="308" t="s">
        <v>784</v>
      </c>
      <c r="P1093" s="309" t="s">
        <v>4343</v>
      </c>
    </row>
    <row r="1094" s="106" customFormat="1" ht="20.1" customHeight="1" spans="1:16">
      <c r="A1094" s="279" t="s">
        <v>3171</v>
      </c>
      <c r="B1094" s="41" t="s">
        <v>1458</v>
      </c>
      <c r="C1094" s="287"/>
      <c r="D1094" s="288">
        <f t="shared" ref="D1094:D1157" si="234">SUM(E1094:I1094)</f>
        <v>0</v>
      </c>
      <c r="E1094" s="287"/>
      <c r="F1094" s="287"/>
      <c r="G1094" s="287"/>
      <c r="H1094" s="287"/>
      <c r="I1094" s="302"/>
      <c r="J1094" s="303">
        <f t="shared" si="230"/>
        <v>0</v>
      </c>
      <c r="K1094" s="294" t="s">
        <v>3555</v>
      </c>
      <c r="L1094" s="44">
        <v>1</v>
      </c>
      <c r="M1094" s="308" t="s">
        <v>3167</v>
      </c>
      <c r="N1094" s="308"/>
      <c r="O1094" s="308" t="s">
        <v>784</v>
      </c>
      <c r="P1094" s="309" t="s">
        <v>4344</v>
      </c>
    </row>
    <row r="1095" s="106" customFormat="1" ht="20.1" customHeight="1" spans="1:16">
      <c r="A1095" s="279" t="s">
        <v>3172</v>
      </c>
      <c r="B1095" s="41" t="s">
        <v>1460</v>
      </c>
      <c r="C1095" s="287">
        <v>114</v>
      </c>
      <c r="D1095" s="288">
        <f t="shared" si="234"/>
        <v>98</v>
      </c>
      <c r="E1095" s="287"/>
      <c r="F1095" s="287"/>
      <c r="G1095" s="287"/>
      <c r="H1095" s="287"/>
      <c r="I1095" s="302">
        <v>98</v>
      </c>
      <c r="J1095" s="303">
        <f t="shared" si="230"/>
        <v>85.96</v>
      </c>
      <c r="K1095" s="294" t="s">
        <v>3555</v>
      </c>
      <c r="L1095" s="44">
        <v>1</v>
      </c>
      <c r="M1095" s="308" t="s">
        <v>3169</v>
      </c>
      <c r="N1095" s="308"/>
      <c r="O1095" s="308" t="s">
        <v>784</v>
      </c>
      <c r="P1095" s="309" t="s">
        <v>4340</v>
      </c>
    </row>
    <row r="1096" s="107" customFormat="1" ht="20.1" customHeight="1" spans="1:16">
      <c r="A1096" s="279" t="s">
        <v>3173</v>
      </c>
      <c r="B1096" s="41" t="s">
        <v>1462</v>
      </c>
      <c r="C1096" s="287"/>
      <c r="D1096" s="288">
        <f t="shared" si="234"/>
        <v>0</v>
      </c>
      <c r="E1096" s="287"/>
      <c r="F1096" s="287"/>
      <c r="G1096" s="287"/>
      <c r="H1096" s="287"/>
      <c r="I1096" s="302"/>
      <c r="J1096" s="303">
        <f t="shared" si="230"/>
        <v>0</v>
      </c>
      <c r="K1096" s="297" t="s">
        <v>3550</v>
      </c>
      <c r="L1096" s="298"/>
      <c r="M1096" s="310" t="s">
        <v>786</v>
      </c>
      <c r="N1096" s="310" t="s">
        <v>786</v>
      </c>
      <c r="O1096" s="310" t="s">
        <v>786</v>
      </c>
      <c r="P1096" s="311" t="s">
        <v>4345</v>
      </c>
    </row>
    <row r="1097" s="107" customFormat="1" ht="20.1" customHeight="1" spans="1:16">
      <c r="A1097" s="279" t="s">
        <v>3174</v>
      </c>
      <c r="B1097" s="41" t="s">
        <v>3175</v>
      </c>
      <c r="C1097" s="287"/>
      <c r="D1097" s="288">
        <f t="shared" si="234"/>
        <v>0</v>
      </c>
      <c r="E1097" s="287"/>
      <c r="F1097" s="287"/>
      <c r="G1097" s="287"/>
      <c r="H1097" s="287"/>
      <c r="I1097" s="302"/>
      <c r="J1097" s="303">
        <f t="shared" si="230"/>
        <v>0</v>
      </c>
      <c r="K1097" s="300" t="s">
        <v>3551</v>
      </c>
      <c r="L1097" s="301"/>
      <c r="M1097" s="312" t="s">
        <v>788</v>
      </c>
      <c r="N1097" s="312" t="s">
        <v>786</v>
      </c>
      <c r="O1097" s="312" t="s">
        <v>788</v>
      </c>
      <c r="P1097" s="313" t="s">
        <v>4346</v>
      </c>
    </row>
    <row r="1098" s="106" customFormat="1" ht="20.1" customHeight="1" spans="1:16">
      <c r="A1098" s="279" t="s">
        <v>3176</v>
      </c>
      <c r="B1098" s="41" t="s">
        <v>3177</v>
      </c>
      <c r="C1098" s="287"/>
      <c r="D1098" s="288">
        <f t="shared" si="234"/>
        <v>0</v>
      </c>
      <c r="E1098" s="287"/>
      <c r="F1098" s="287"/>
      <c r="G1098" s="287"/>
      <c r="H1098" s="287"/>
      <c r="I1098" s="302"/>
      <c r="J1098" s="303">
        <f t="shared" si="230"/>
        <v>0</v>
      </c>
      <c r="K1098" s="294" t="s">
        <v>3555</v>
      </c>
      <c r="L1098" s="44">
        <v>1</v>
      </c>
      <c r="M1098" s="308" t="s">
        <v>3171</v>
      </c>
      <c r="N1098" s="308"/>
      <c r="O1098" s="308" t="s">
        <v>788</v>
      </c>
      <c r="P1098" s="314" t="s">
        <v>3556</v>
      </c>
    </row>
    <row r="1099" s="106" customFormat="1" ht="20.1" customHeight="1" spans="1:16">
      <c r="A1099" s="279" t="s">
        <v>3178</v>
      </c>
      <c r="B1099" s="41" t="s">
        <v>3179</v>
      </c>
      <c r="C1099" s="287"/>
      <c r="D1099" s="288">
        <f t="shared" si="234"/>
        <v>0</v>
      </c>
      <c r="E1099" s="287"/>
      <c r="F1099" s="287"/>
      <c r="G1099" s="287"/>
      <c r="H1099" s="287"/>
      <c r="I1099" s="302"/>
      <c r="J1099" s="303">
        <f t="shared" si="230"/>
        <v>0</v>
      </c>
      <c r="K1099" s="294" t="s">
        <v>3555</v>
      </c>
      <c r="L1099" s="44">
        <v>1</v>
      </c>
      <c r="M1099" s="308" t="s">
        <v>3172</v>
      </c>
      <c r="N1099" s="308"/>
      <c r="O1099" s="308" t="s">
        <v>788</v>
      </c>
      <c r="P1099" s="314" t="s">
        <v>3557</v>
      </c>
    </row>
    <row r="1100" s="106" customFormat="1" ht="20.1" customHeight="1" spans="1:16">
      <c r="A1100" s="279" t="s">
        <v>3180</v>
      </c>
      <c r="B1100" s="41" t="s">
        <v>3181</v>
      </c>
      <c r="C1100" s="287">
        <v>11</v>
      </c>
      <c r="D1100" s="288">
        <f t="shared" si="234"/>
        <v>0</v>
      </c>
      <c r="E1100" s="287"/>
      <c r="F1100" s="287"/>
      <c r="G1100" s="287"/>
      <c r="H1100" s="287"/>
      <c r="I1100" s="302"/>
      <c r="J1100" s="303">
        <f t="shared" si="230"/>
        <v>-100</v>
      </c>
      <c r="K1100" s="294" t="s">
        <v>3555</v>
      </c>
      <c r="L1100" s="44">
        <v>1</v>
      </c>
      <c r="M1100" s="308" t="s">
        <v>3173</v>
      </c>
      <c r="N1100" s="308"/>
      <c r="O1100" s="308" t="s">
        <v>788</v>
      </c>
      <c r="P1100" s="314" t="s">
        <v>3558</v>
      </c>
    </row>
    <row r="1101" s="106" customFormat="1" ht="20.1" customHeight="1" spans="1:16">
      <c r="A1101" s="279" t="s">
        <v>3182</v>
      </c>
      <c r="B1101" s="41" t="s">
        <v>1476</v>
      </c>
      <c r="C1101" s="287"/>
      <c r="D1101" s="288">
        <f t="shared" si="234"/>
        <v>0</v>
      </c>
      <c r="E1101" s="287"/>
      <c r="F1101" s="287"/>
      <c r="G1101" s="287"/>
      <c r="H1101" s="287"/>
      <c r="I1101" s="302"/>
      <c r="J1101" s="303">
        <f t="shared" si="230"/>
        <v>0</v>
      </c>
      <c r="K1101" s="294" t="s">
        <v>3555</v>
      </c>
      <c r="L1101" s="44">
        <v>1</v>
      </c>
      <c r="M1101" s="308" t="s">
        <v>3174</v>
      </c>
      <c r="N1101" s="308"/>
      <c r="O1101" s="308" t="s">
        <v>788</v>
      </c>
      <c r="P1101" s="309" t="s">
        <v>4347</v>
      </c>
    </row>
    <row r="1102" s="106" customFormat="1" ht="20.1" customHeight="1" spans="1:16">
      <c r="A1102" s="279" t="s">
        <v>3183</v>
      </c>
      <c r="B1102" s="41" t="s">
        <v>3184</v>
      </c>
      <c r="C1102" s="287">
        <v>3</v>
      </c>
      <c r="D1102" s="288">
        <f t="shared" si="234"/>
        <v>145</v>
      </c>
      <c r="E1102" s="287"/>
      <c r="F1102" s="287"/>
      <c r="G1102" s="287">
        <v>145</v>
      </c>
      <c r="H1102" s="287"/>
      <c r="I1102" s="302"/>
      <c r="J1102" s="303">
        <f t="shared" si="230"/>
        <v>4833.33</v>
      </c>
      <c r="K1102" s="294" t="s">
        <v>3555</v>
      </c>
      <c r="L1102" s="44">
        <v>1</v>
      </c>
      <c r="M1102" s="308" t="s">
        <v>3176</v>
      </c>
      <c r="N1102" s="308"/>
      <c r="O1102" s="308" t="s">
        <v>788</v>
      </c>
      <c r="P1102" s="309" t="s">
        <v>4348</v>
      </c>
    </row>
    <row r="1103" s="106" customFormat="1" ht="20.1" customHeight="1" spans="1:16">
      <c r="A1103" s="283" t="s">
        <v>790</v>
      </c>
      <c r="B1103" s="323" t="s">
        <v>3185</v>
      </c>
      <c r="C1103" s="285">
        <v>0</v>
      </c>
      <c r="D1103" s="285">
        <f t="shared" si="234"/>
        <v>0</v>
      </c>
      <c r="E1103" s="285">
        <f t="shared" ref="E1103:H1103" si="235">SUM(E1104:E1108)</f>
        <v>0</v>
      </c>
      <c r="F1103" s="285">
        <f t="shared" si="235"/>
        <v>0</v>
      </c>
      <c r="G1103" s="285">
        <f>VLOOKUP(A1103,[1]√表四、2025年公共财政支出变动表!$A$8:$S$221,18,FALSE)</f>
        <v>0</v>
      </c>
      <c r="H1103" s="285">
        <f t="shared" si="235"/>
        <v>0</v>
      </c>
      <c r="I1103" s="285"/>
      <c r="J1103" s="324">
        <f t="shared" si="230"/>
        <v>0</v>
      </c>
      <c r="K1103" s="294" t="s">
        <v>3555</v>
      </c>
      <c r="L1103" s="44">
        <v>1</v>
      </c>
      <c r="M1103" s="308" t="s">
        <v>3178</v>
      </c>
      <c r="N1103" s="308"/>
      <c r="O1103" s="308" t="s">
        <v>788</v>
      </c>
      <c r="P1103" s="309" t="s">
        <v>4349</v>
      </c>
    </row>
    <row r="1104" s="106" customFormat="1" ht="20.1" customHeight="1" spans="1:16">
      <c r="A1104" s="279" t="s">
        <v>3186</v>
      </c>
      <c r="B1104" s="41" t="s">
        <v>1458</v>
      </c>
      <c r="C1104" s="287">
        <v>0</v>
      </c>
      <c r="D1104" s="288">
        <f t="shared" si="234"/>
        <v>0</v>
      </c>
      <c r="E1104" s="287"/>
      <c r="F1104" s="287"/>
      <c r="G1104" s="287"/>
      <c r="H1104" s="287"/>
      <c r="I1104" s="302"/>
      <c r="J1104" s="303">
        <f t="shared" si="230"/>
        <v>0</v>
      </c>
      <c r="K1104" s="294" t="s">
        <v>3555</v>
      </c>
      <c r="L1104" s="44">
        <v>1</v>
      </c>
      <c r="M1104" s="308" t="s">
        <v>3180</v>
      </c>
      <c r="N1104" s="308"/>
      <c r="O1104" s="308" t="s">
        <v>788</v>
      </c>
      <c r="P1104" s="309" t="s">
        <v>4350</v>
      </c>
    </row>
    <row r="1105" s="106" customFormat="1" ht="20.1" customHeight="1" spans="1:16">
      <c r="A1105" s="279" t="s">
        <v>3187</v>
      </c>
      <c r="B1105" s="41" t="s">
        <v>1460</v>
      </c>
      <c r="C1105" s="287">
        <v>0</v>
      </c>
      <c r="D1105" s="288">
        <f t="shared" si="234"/>
        <v>0</v>
      </c>
      <c r="E1105" s="287"/>
      <c r="F1105" s="287"/>
      <c r="G1105" s="287"/>
      <c r="H1105" s="287"/>
      <c r="I1105" s="302"/>
      <c r="J1105" s="303">
        <f t="shared" si="230"/>
        <v>0</v>
      </c>
      <c r="K1105" s="294" t="s">
        <v>3555</v>
      </c>
      <c r="L1105" s="44">
        <v>1</v>
      </c>
      <c r="M1105" s="308" t="s">
        <v>3182</v>
      </c>
      <c r="N1105" s="308"/>
      <c r="O1105" s="308" t="s">
        <v>788</v>
      </c>
      <c r="P1105" s="314" t="s">
        <v>3565</v>
      </c>
    </row>
    <row r="1106" s="106" customFormat="1" ht="20.1" customHeight="1" spans="1:16">
      <c r="A1106" s="279" t="s">
        <v>3188</v>
      </c>
      <c r="B1106" s="41" t="s">
        <v>1462</v>
      </c>
      <c r="C1106" s="287">
        <v>0</v>
      </c>
      <c r="D1106" s="288">
        <f t="shared" si="234"/>
        <v>0</v>
      </c>
      <c r="E1106" s="287"/>
      <c r="F1106" s="287"/>
      <c r="G1106" s="287"/>
      <c r="H1106" s="287"/>
      <c r="I1106" s="302"/>
      <c r="J1106" s="303">
        <f t="shared" si="230"/>
        <v>0</v>
      </c>
      <c r="K1106" s="294" t="s">
        <v>3555</v>
      </c>
      <c r="L1106" s="44">
        <v>1</v>
      </c>
      <c r="M1106" s="308" t="s">
        <v>3183</v>
      </c>
      <c r="N1106" s="308"/>
      <c r="O1106" s="308" t="s">
        <v>788</v>
      </c>
      <c r="P1106" s="309" t="s">
        <v>4351</v>
      </c>
    </row>
    <row r="1107" s="107" customFormat="1" ht="20.1" customHeight="1" spans="1:16">
      <c r="A1107" s="279" t="s">
        <v>3189</v>
      </c>
      <c r="B1107" s="41" t="s">
        <v>3190</v>
      </c>
      <c r="C1107" s="287">
        <v>0</v>
      </c>
      <c r="D1107" s="288">
        <f t="shared" si="234"/>
        <v>0</v>
      </c>
      <c r="E1107" s="287"/>
      <c r="F1107" s="287"/>
      <c r="G1107" s="287"/>
      <c r="H1107" s="287"/>
      <c r="I1107" s="302"/>
      <c r="J1107" s="303">
        <f t="shared" si="230"/>
        <v>0</v>
      </c>
      <c r="K1107" s="300" t="s">
        <v>3551</v>
      </c>
      <c r="L1107" s="301"/>
      <c r="M1107" s="312" t="s">
        <v>790</v>
      </c>
      <c r="N1107" s="312" t="s">
        <v>786</v>
      </c>
      <c r="O1107" s="312" t="s">
        <v>790</v>
      </c>
      <c r="P1107" s="313" t="s">
        <v>4352</v>
      </c>
    </row>
    <row r="1108" s="106" customFormat="1" ht="20.1" customHeight="1" spans="1:16">
      <c r="A1108" s="279" t="s">
        <v>3191</v>
      </c>
      <c r="B1108" s="41" t="s">
        <v>3192</v>
      </c>
      <c r="C1108" s="287">
        <v>0</v>
      </c>
      <c r="D1108" s="288">
        <f t="shared" si="234"/>
        <v>0</v>
      </c>
      <c r="E1108" s="287"/>
      <c r="F1108" s="287"/>
      <c r="G1108" s="287"/>
      <c r="H1108" s="287"/>
      <c r="I1108" s="302"/>
      <c r="J1108" s="303">
        <f t="shared" si="230"/>
        <v>0</v>
      </c>
      <c r="K1108" s="294" t="s">
        <v>3555</v>
      </c>
      <c r="L1108" s="44">
        <v>1</v>
      </c>
      <c r="M1108" s="308" t="s">
        <v>3186</v>
      </c>
      <c r="N1108" s="308"/>
      <c r="O1108" s="308" t="s">
        <v>790</v>
      </c>
      <c r="P1108" s="314" t="s">
        <v>3556</v>
      </c>
    </row>
    <row r="1109" s="106" customFormat="1" ht="20.1" customHeight="1" spans="1:16">
      <c r="A1109" s="283" t="s">
        <v>792</v>
      </c>
      <c r="B1109" s="323" t="s">
        <v>3193</v>
      </c>
      <c r="C1109" s="285">
        <v>0</v>
      </c>
      <c r="D1109" s="285">
        <f t="shared" si="234"/>
        <v>0</v>
      </c>
      <c r="E1109" s="285">
        <f t="shared" ref="E1109:H1109" si="236">SUM(E1110:E1111)</f>
        <v>0</v>
      </c>
      <c r="F1109" s="285">
        <f t="shared" si="236"/>
        <v>0</v>
      </c>
      <c r="G1109" s="285">
        <f>VLOOKUP(A1109,[1]√表四、2025年公共财政支出变动表!$A$8:$S$221,18,FALSE)</f>
        <v>0</v>
      </c>
      <c r="H1109" s="285">
        <f t="shared" si="236"/>
        <v>0</v>
      </c>
      <c r="I1109" s="285"/>
      <c r="J1109" s="324">
        <f t="shared" si="230"/>
        <v>0</v>
      </c>
      <c r="K1109" s="294" t="s">
        <v>3555</v>
      </c>
      <c r="L1109" s="44">
        <v>1</v>
      </c>
      <c r="M1109" s="308" t="s">
        <v>3187</v>
      </c>
      <c r="N1109" s="308"/>
      <c r="O1109" s="308" t="s">
        <v>790</v>
      </c>
      <c r="P1109" s="314" t="s">
        <v>3557</v>
      </c>
    </row>
    <row r="1110" s="106" customFormat="1" ht="20.1" customHeight="1" spans="1:16">
      <c r="A1110" s="279" t="s">
        <v>3194</v>
      </c>
      <c r="B1110" s="41" t="s">
        <v>3195</v>
      </c>
      <c r="C1110" s="287">
        <v>0</v>
      </c>
      <c r="D1110" s="288">
        <f t="shared" si="234"/>
        <v>0</v>
      </c>
      <c r="E1110" s="287"/>
      <c r="F1110" s="287"/>
      <c r="G1110" s="287"/>
      <c r="H1110" s="287"/>
      <c r="I1110" s="302"/>
      <c r="J1110" s="303">
        <f t="shared" si="230"/>
        <v>0</v>
      </c>
      <c r="K1110" s="294" t="s">
        <v>3555</v>
      </c>
      <c r="L1110" s="44">
        <v>1</v>
      </c>
      <c r="M1110" s="308" t="s">
        <v>3188</v>
      </c>
      <c r="N1110" s="308"/>
      <c r="O1110" s="308" t="s">
        <v>790</v>
      </c>
      <c r="P1110" s="314" t="s">
        <v>3558</v>
      </c>
    </row>
    <row r="1111" s="106" customFormat="1" ht="20.1" customHeight="1" spans="1:16">
      <c r="A1111" s="279" t="s">
        <v>3196</v>
      </c>
      <c r="B1111" s="41" t="s">
        <v>793</v>
      </c>
      <c r="C1111" s="287">
        <v>0</v>
      </c>
      <c r="D1111" s="288">
        <f t="shared" si="234"/>
        <v>0</v>
      </c>
      <c r="E1111" s="287"/>
      <c r="F1111" s="287"/>
      <c r="G1111" s="287"/>
      <c r="H1111" s="287"/>
      <c r="I1111" s="302"/>
      <c r="J1111" s="303">
        <f t="shared" si="230"/>
        <v>0</v>
      </c>
      <c r="K1111" s="294" t="s">
        <v>3555</v>
      </c>
      <c r="L1111" s="44">
        <v>1</v>
      </c>
      <c r="M1111" s="308" t="s">
        <v>3189</v>
      </c>
      <c r="N1111" s="308"/>
      <c r="O1111" s="308" t="s">
        <v>790</v>
      </c>
      <c r="P1111" s="309" t="s">
        <v>4353</v>
      </c>
    </row>
    <row r="1112" s="106" customFormat="1" ht="20.1" customHeight="1" spans="1:16">
      <c r="A1112" s="280" t="s">
        <v>794</v>
      </c>
      <c r="B1112" s="281" t="s">
        <v>795</v>
      </c>
      <c r="C1112" s="282">
        <f t="shared" ref="C1112:I1112" si="237">C1113+C1120+C1130+C1136+C1139</f>
        <v>37</v>
      </c>
      <c r="D1112" s="282">
        <f t="shared" si="234"/>
        <v>286</v>
      </c>
      <c r="E1112" s="282">
        <f t="shared" si="237"/>
        <v>0</v>
      </c>
      <c r="F1112" s="282">
        <f t="shared" si="237"/>
        <v>0</v>
      </c>
      <c r="G1112" s="282">
        <f t="shared" si="237"/>
        <v>286</v>
      </c>
      <c r="H1112" s="282">
        <f t="shared" si="237"/>
        <v>0</v>
      </c>
      <c r="I1112" s="282">
        <f t="shared" si="237"/>
        <v>0</v>
      </c>
      <c r="J1112" s="296">
        <f t="shared" si="230"/>
        <v>772.97</v>
      </c>
      <c r="K1112" s="294" t="s">
        <v>3555</v>
      </c>
      <c r="L1112" s="44">
        <v>1</v>
      </c>
      <c r="M1112" s="308" t="s">
        <v>3191</v>
      </c>
      <c r="N1112" s="308"/>
      <c r="O1112" s="308" t="s">
        <v>790</v>
      </c>
      <c r="P1112" s="309" t="s">
        <v>4354</v>
      </c>
    </row>
    <row r="1113" s="107" customFormat="1" ht="20.1" customHeight="1" spans="1:16">
      <c r="A1113" s="283" t="s">
        <v>796</v>
      </c>
      <c r="B1113" s="323" t="s">
        <v>3197</v>
      </c>
      <c r="C1113" s="285">
        <f t="shared" ref="C1113:I1113" si="238">SUM(C1114:C1119)</f>
        <v>19</v>
      </c>
      <c r="D1113" s="285">
        <f t="shared" si="234"/>
        <v>0</v>
      </c>
      <c r="E1113" s="285">
        <f t="shared" si="238"/>
        <v>0</v>
      </c>
      <c r="F1113" s="285">
        <f t="shared" si="238"/>
        <v>0</v>
      </c>
      <c r="G1113" s="285">
        <f t="shared" si="238"/>
        <v>0</v>
      </c>
      <c r="H1113" s="285">
        <f t="shared" si="238"/>
        <v>0</v>
      </c>
      <c r="I1113" s="285">
        <f t="shared" si="238"/>
        <v>0</v>
      </c>
      <c r="J1113" s="324">
        <f t="shared" si="230"/>
        <v>-100</v>
      </c>
      <c r="K1113" s="300" t="s">
        <v>3551</v>
      </c>
      <c r="L1113" s="301"/>
      <c r="M1113" s="312" t="s">
        <v>792</v>
      </c>
      <c r="N1113" s="312" t="s">
        <v>786</v>
      </c>
      <c r="O1113" s="312" t="s">
        <v>792</v>
      </c>
      <c r="P1113" s="313" t="s">
        <v>4355</v>
      </c>
    </row>
    <row r="1114" s="106" customFormat="1" ht="20.1" customHeight="1" spans="1:16">
      <c r="A1114" s="279" t="s">
        <v>3198</v>
      </c>
      <c r="B1114" s="41" t="s">
        <v>1458</v>
      </c>
      <c r="C1114" s="287">
        <v>19</v>
      </c>
      <c r="D1114" s="288">
        <f t="shared" si="234"/>
        <v>0</v>
      </c>
      <c r="E1114" s="287"/>
      <c r="F1114" s="287"/>
      <c r="G1114" s="287"/>
      <c r="H1114" s="287"/>
      <c r="I1114" s="302"/>
      <c r="J1114" s="303">
        <f t="shared" si="230"/>
        <v>-100</v>
      </c>
      <c r="K1114" s="294" t="s">
        <v>3555</v>
      </c>
      <c r="L1114" s="44">
        <v>1</v>
      </c>
      <c r="M1114" s="308" t="s">
        <v>3194</v>
      </c>
      <c r="N1114" s="308"/>
      <c r="O1114" s="308" t="s">
        <v>792</v>
      </c>
      <c r="P1114" s="309" t="s">
        <v>4356</v>
      </c>
    </row>
    <row r="1115" s="106" customFormat="1" ht="20.1" customHeight="1" spans="1:16">
      <c r="A1115" s="279" t="s">
        <v>3199</v>
      </c>
      <c r="B1115" s="41" t="s">
        <v>1460</v>
      </c>
      <c r="C1115" s="287">
        <v>0</v>
      </c>
      <c r="D1115" s="288">
        <f t="shared" si="234"/>
        <v>0</v>
      </c>
      <c r="E1115" s="287"/>
      <c r="F1115" s="287"/>
      <c r="G1115" s="287"/>
      <c r="H1115" s="287"/>
      <c r="I1115" s="302"/>
      <c r="J1115" s="303">
        <f t="shared" si="230"/>
        <v>0</v>
      </c>
      <c r="K1115" s="294" t="s">
        <v>3555</v>
      </c>
      <c r="L1115" s="44">
        <v>1</v>
      </c>
      <c r="M1115" s="308" t="s">
        <v>3196</v>
      </c>
      <c r="N1115" s="308"/>
      <c r="O1115" s="308" t="s">
        <v>792</v>
      </c>
      <c r="P1115" s="309" t="s">
        <v>4355</v>
      </c>
    </row>
    <row r="1116" s="107" customFormat="1" ht="20.1" customHeight="1" spans="1:16">
      <c r="A1116" s="279" t="s">
        <v>3200</v>
      </c>
      <c r="B1116" s="41" t="s">
        <v>1462</v>
      </c>
      <c r="C1116" s="287">
        <v>0</v>
      </c>
      <c r="D1116" s="288">
        <f t="shared" si="234"/>
        <v>0</v>
      </c>
      <c r="E1116" s="287"/>
      <c r="F1116" s="287"/>
      <c r="G1116" s="287"/>
      <c r="H1116" s="287"/>
      <c r="I1116" s="302"/>
      <c r="J1116" s="303">
        <f t="shared" si="230"/>
        <v>0</v>
      </c>
      <c r="K1116" s="297" t="s">
        <v>3550</v>
      </c>
      <c r="L1116" s="298"/>
      <c r="M1116" s="310" t="s">
        <v>794</v>
      </c>
      <c r="N1116" s="310" t="s">
        <v>794</v>
      </c>
      <c r="O1116" s="310" t="s">
        <v>794</v>
      </c>
      <c r="P1116" s="311" t="s">
        <v>4357</v>
      </c>
    </row>
    <row r="1117" s="107" customFormat="1" ht="20.1" customHeight="1" spans="1:16">
      <c r="A1117" s="279" t="s">
        <v>3201</v>
      </c>
      <c r="B1117" s="41" t="s">
        <v>3202</v>
      </c>
      <c r="C1117" s="287">
        <v>0</v>
      </c>
      <c r="D1117" s="288">
        <f t="shared" si="234"/>
        <v>0</v>
      </c>
      <c r="E1117" s="287"/>
      <c r="F1117" s="287"/>
      <c r="G1117" s="287"/>
      <c r="H1117" s="287"/>
      <c r="I1117" s="302"/>
      <c r="J1117" s="303">
        <f t="shared" si="230"/>
        <v>0</v>
      </c>
      <c r="K1117" s="300" t="s">
        <v>3551</v>
      </c>
      <c r="L1117" s="301"/>
      <c r="M1117" s="312" t="s">
        <v>796</v>
      </c>
      <c r="N1117" s="312" t="s">
        <v>794</v>
      </c>
      <c r="O1117" s="312" t="s">
        <v>796</v>
      </c>
      <c r="P1117" s="313" t="s">
        <v>4358</v>
      </c>
    </row>
    <row r="1118" s="106" customFormat="1" ht="20.1" customHeight="1" spans="1:16">
      <c r="A1118" s="279" t="s">
        <v>3203</v>
      </c>
      <c r="B1118" s="41" t="s">
        <v>1476</v>
      </c>
      <c r="C1118" s="287">
        <v>0</v>
      </c>
      <c r="D1118" s="288">
        <f t="shared" si="234"/>
        <v>0</v>
      </c>
      <c r="E1118" s="287"/>
      <c r="F1118" s="287"/>
      <c r="G1118" s="287"/>
      <c r="H1118" s="287"/>
      <c r="I1118" s="302"/>
      <c r="J1118" s="303">
        <f t="shared" si="230"/>
        <v>0</v>
      </c>
      <c r="K1118" s="294" t="s">
        <v>3555</v>
      </c>
      <c r="L1118" s="44">
        <v>1</v>
      </c>
      <c r="M1118" s="308" t="s">
        <v>3198</v>
      </c>
      <c r="N1118" s="308"/>
      <c r="O1118" s="308" t="s">
        <v>796</v>
      </c>
      <c r="P1118" s="314" t="s">
        <v>3556</v>
      </c>
    </row>
    <row r="1119" s="106" customFormat="1" ht="20.1" customHeight="1" spans="1:16">
      <c r="A1119" s="279" t="s">
        <v>3204</v>
      </c>
      <c r="B1119" s="41" t="s">
        <v>3205</v>
      </c>
      <c r="C1119" s="287">
        <v>0</v>
      </c>
      <c r="D1119" s="288">
        <f t="shared" si="234"/>
        <v>0</v>
      </c>
      <c r="E1119" s="287"/>
      <c r="F1119" s="287"/>
      <c r="G1119" s="287"/>
      <c r="H1119" s="287"/>
      <c r="I1119" s="302"/>
      <c r="J1119" s="303">
        <f t="shared" si="230"/>
        <v>0</v>
      </c>
      <c r="K1119" s="294" t="s">
        <v>3555</v>
      </c>
      <c r="L1119" s="44">
        <v>1</v>
      </c>
      <c r="M1119" s="308" t="s">
        <v>3199</v>
      </c>
      <c r="N1119" s="308"/>
      <c r="O1119" s="308" t="s">
        <v>796</v>
      </c>
      <c r="P1119" s="314" t="s">
        <v>3557</v>
      </c>
    </row>
    <row r="1120" s="106" customFormat="1" ht="20.1" customHeight="1" spans="1:16">
      <c r="A1120" s="283" t="s">
        <v>797</v>
      </c>
      <c r="B1120" s="323" t="s">
        <v>3206</v>
      </c>
      <c r="C1120" s="285">
        <f t="shared" ref="C1120:I1120" si="239">SUM(C1121:C1129)</f>
        <v>0</v>
      </c>
      <c r="D1120" s="285">
        <f t="shared" si="234"/>
        <v>0</v>
      </c>
      <c r="E1120" s="285">
        <f t="shared" si="239"/>
        <v>0</v>
      </c>
      <c r="F1120" s="285">
        <f t="shared" si="239"/>
        <v>0</v>
      </c>
      <c r="G1120" s="285">
        <f t="shared" si="239"/>
        <v>0</v>
      </c>
      <c r="H1120" s="285">
        <f t="shared" si="239"/>
        <v>0</v>
      </c>
      <c r="I1120" s="285">
        <f t="shared" si="239"/>
        <v>0</v>
      </c>
      <c r="J1120" s="324"/>
      <c r="K1120" s="294" t="s">
        <v>3555</v>
      </c>
      <c r="L1120" s="44">
        <v>1</v>
      </c>
      <c r="M1120" s="308" t="s">
        <v>3200</v>
      </c>
      <c r="N1120" s="308"/>
      <c r="O1120" s="308" t="s">
        <v>796</v>
      </c>
      <c r="P1120" s="314" t="s">
        <v>3558</v>
      </c>
    </row>
    <row r="1121" s="106" customFormat="1" ht="20.1" customHeight="1" spans="1:16">
      <c r="A1121" s="279" t="s">
        <v>3207</v>
      </c>
      <c r="B1121" s="41" t="s">
        <v>3208</v>
      </c>
      <c r="C1121" s="287"/>
      <c r="D1121" s="288">
        <f t="shared" si="234"/>
        <v>0</v>
      </c>
      <c r="E1121" s="287"/>
      <c r="F1121" s="287"/>
      <c r="G1121" s="287"/>
      <c r="H1121" s="287"/>
      <c r="I1121" s="302"/>
      <c r="J1121" s="303"/>
      <c r="K1121" s="294" t="s">
        <v>3555</v>
      </c>
      <c r="L1121" s="44">
        <v>1</v>
      </c>
      <c r="M1121" s="308" t="s">
        <v>3201</v>
      </c>
      <c r="N1121" s="308"/>
      <c r="O1121" s="308" t="s">
        <v>796</v>
      </c>
      <c r="P1121" s="309" t="s">
        <v>4359</v>
      </c>
    </row>
    <row r="1122" s="106" customFormat="1" ht="20.1" customHeight="1" spans="1:16">
      <c r="A1122" s="279" t="s">
        <v>3209</v>
      </c>
      <c r="B1122" s="41" t="s">
        <v>3210</v>
      </c>
      <c r="C1122" s="287"/>
      <c r="D1122" s="288">
        <f t="shared" si="234"/>
        <v>0</v>
      </c>
      <c r="E1122" s="287"/>
      <c r="F1122" s="287"/>
      <c r="G1122" s="287"/>
      <c r="H1122" s="287"/>
      <c r="I1122" s="302"/>
      <c r="J1122" s="303"/>
      <c r="K1122" s="294" t="s">
        <v>3555</v>
      </c>
      <c r="L1122" s="44">
        <v>1</v>
      </c>
      <c r="M1122" s="308" t="s">
        <v>3203</v>
      </c>
      <c r="N1122" s="308"/>
      <c r="O1122" s="308" t="s">
        <v>796</v>
      </c>
      <c r="P1122" s="314" t="s">
        <v>3565</v>
      </c>
    </row>
    <row r="1123" s="106" customFormat="1" ht="20.1" customHeight="1" spans="1:16">
      <c r="A1123" s="279" t="s">
        <v>3211</v>
      </c>
      <c r="B1123" s="41" t="s">
        <v>3212</v>
      </c>
      <c r="C1123" s="287"/>
      <c r="D1123" s="288">
        <f t="shared" si="234"/>
        <v>0</v>
      </c>
      <c r="E1123" s="287"/>
      <c r="F1123" s="287"/>
      <c r="G1123" s="287"/>
      <c r="H1123" s="287"/>
      <c r="I1123" s="302"/>
      <c r="J1123" s="303"/>
      <c r="K1123" s="294" t="s">
        <v>3555</v>
      </c>
      <c r="L1123" s="44">
        <v>1</v>
      </c>
      <c r="M1123" s="308" t="s">
        <v>3204</v>
      </c>
      <c r="N1123" s="308"/>
      <c r="O1123" s="308" t="s">
        <v>796</v>
      </c>
      <c r="P1123" s="309" t="s">
        <v>4360</v>
      </c>
    </row>
    <row r="1124" s="107" customFormat="1" ht="20.1" customHeight="1" spans="1:16">
      <c r="A1124" s="279" t="s">
        <v>3213</v>
      </c>
      <c r="B1124" s="41" t="s">
        <v>3214</v>
      </c>
      <c r="C1124" s="287"/>
      <c r="D1124" s="288">
        <f t="shared" si="234"/>
        <v>0</v>
      </c>
      <c r="E1124" s="287"/>
      <c r="F1124" s="287"/>
      <c r="G1124" s="287"/>
      <c r="H1124" s="287"/>
      <c r="I1124" s="302"/>
      <c r="J1124" s="303"/>
      <c r="K1124" s="300" t="s">
        <v>3551</v>
      </c>
      <c r="L1124" s="301"/>
      <c r="M1124" s="312" t="s">
        <v>797</v>
      </c>
      <c r="N1124" s="312" t="s">
        <v>794</v>
      </c>
      <c r="O1124" s="312" t="s">
        <v>797</v>
      </c>
      <c r="P1124" s="341" t="s">
        <v>4361</v>
      </c>
    </row>
    <row r="1125" s="106" customFormat="1" ht="20.1" customHeight="1" spans="1:16">
      <c r="A1125" s="279" t="s">
        <v>3215</v>
      </c>
      <c r="B1125" s="41" t="s">
        <v>3216</v>
      </c>
      <c r="C1125" s="287"/>
      <c r="D1125" s="288">
        <f t="shared" si="234"/>
        <v>0</v>
      </c>
      <c r="E1125" s="287"/>
      <c r="F1125" s="287"/>
      <c r="G1125" s="287"/>
      <c r="H1125" s="287"/>
      <c r="I1125" s="302"/>
      <c r="J1125" s="303"/>
      <c r="K1125" s="294" t="s">
        <v>3555</v>
      </c>
      <c r="L1125" s="44">
        <v>1</v>
      </c>
      <c r="M1125" s="308" t="s">
        <v>3207</v>
      </c>
      <c r="N1125" s="308"/>
      <c r="O1125" s="320" t="s">
        <v>797</v>
      </c>
      <c r="P1125" s="340" t="s">
        <v>4362</v>
      </c>
    </row>
    <row r="1126" s="106" customFormat="1" ht="20.1" customHeight="1" spans="1:16">
      <c r="A1126" s="279" t="s">
        <v>3217</v>
      </c>
      <c r="B1126" s="41" t="s">
        <v>3218</v>
      </c>
      <c r="C1126" s="287"/>
      <c r="D1126" s="288">
        <f t="shared" si="234"/>
        <v>0</v>
      </c>
      <c r="E1126" s="287"/>
      <c r="F1126" s="287"/>
      <c r="G1126" s="287"/>
      <c r="H1126" s="287"/>
      <c r="I1126" s="302"/>
      <c r="J1126" s="303"/>
      <c r="K1126" s="294" t="s">
        <v>3555</v>
      </c>
      <c r="L1126" s="44">
        <v>1</v>
      </c>
      <c r="M1126" s="308" t="s">
        <v>3209</v>
      </c>
      <c r="N1126" s="308"/>
      <c r="O1126" s="320" t="s">
        <v>797</v>
      </c>
      <c r="P1126" s="340" t="s">
        <v>4363</v>
      </c>
    </row>
    <row r="1127" s="106" customFormat="1" ht="20.1" customHeight="1" spans="1:16">
      <c r="A1127" s="279" t="s">
        <v>3219</v>
      </c>
      <c r="B1127" s="41" t="s">
        <v>3220</v>
      </c>
      <c r="C1127" s="287"/>
      <c r="D1127" s="288">
        <f t="shared" si="234"/>
        <v>0</v>
      </c>
      <c r="E1127" s="287"/>
      <c r="F1127" s="287"/>
      <c r="G1127" s="287"/>
      <c r="H1127" s="287"/>
      <c r="I1127" s="302"/>
      <c r="J1127" s="303"/>
      <c r="K1127" s="294" t="s">
        <v>3555</v>
      </c>
      <c r="L1127" s="44">
        <v>1</v>
      </c>
      <c r="M1127" s="308" t="s">
        <v>3211</v>
      </c>
      <c r="N1127" s="308"/>
      <c r="O1127" s="320" t="s">
        <v>797</v>
      </c>
      <c r="P1127" s="340" t="s">
        <v>4364</v>
      </c>
    </row>
    <row r="1128" s="106" customFormat="1" ht="20.1" customHeight="1" spans="1:16">
      <c r="A1128" s="279" t="s">
        <v>3221</v>
      </c>
      <c r="B1128" s="41" t="s">
        <v>3222</v>
      </c>
      <c r="C1128" s="287"/>
      <c r="D1128" s="288">
        <f t="shared" si="234"/>
        <v>0</v>
      </c>
      <c r="E1128" s="287"/>
      <c r="F1128" s="287"/>
      <c r="G1128" s="287"/>
      <c r="H1128" s="287"/>
      <c r="I1128" s="302"/>
      <c r="J1128" s="303"/>
      <c r="K1128" s="294" t="s">
        <v>3555</v>
      </c>
      <c r="L1128" s="44">
        <v>1</v>
      </c>
      <c r="M1128" s="308" t="s">
        <v>3213</v>
      </c>
      <c r="N1128" s="308"/>
      <c r="O1128" s="320" t="s">
        <v>797</v>
      </c>
      <c r="P1128" s="340" t="s">
        <v>4365</v>
      </c>
    </row>
    <row r="1129" s="106" customFormat="1" ht="20.1" customHeight="1" spans="1:16">
      <c r="A1129" s="279" t="s">
        <v>3223</v>
      </c>
      <c r="B1129" s="41" t="s">
        <v>3224</v>
      </c>
      <c r="C1129" s="287"/>
      <c r="D1129" s="288">
        <f t="shared" si="234"/>
        <v>0</v>
      </c>
      <c r="E1129" s="287"/>
      <c r="F1129" s="287"/>
      <c r="G1129" s="287"/>
      <c r="H1129" s="287"/>
      <c r="I1129" s="302"/>
      <c r="J1129" s="303"/>
      <c r="K1129" s="294" t="s">
        <v>3555</v>
      </c>
      <c r="L1129" s="44">
        <v>1</v>
      </c>
      <c r="M1129" s="308" t="s">
        <v>3215</v>
      </c>
      <c r="N1129" s="308"/>
      <c r="O1129" s="320" t="s">
        <v>797</v>
      </c>
      <c r="P1129" s="340" t="s">
        <v>4366</v>
      </c>
    </row>
    <row r="1130" s="106" customFormat="1" ht="20.1" customHeight="1" spans="1:16">
      <c r="A1130" s="283" t="s">
        <v>798</v>
      </c>
      <c r="B1130" s="323" t="s">
        <v>3225</v>
      </c>
      <c r="C1130" s="285">
        <f t="shared" ref="C1130:I1130" si="240">SUM(C1131:C1135)</f>
        <v>18</v>
      </c>
      <c r="D1130" s="285">
        <f t="shared" si="234"/>
        <v>286</v>
      </c>
      <c r="E1130" s="285">
        <f t="shared" si="240"/>
        <v>0</v>
      </c>
      <c r="F1130" s="285">
        <f t="shared" si="240"/>
        <v>0</v>
      </c>
      <c r="G1130" s="285">
        <f t="shared" si="240"/>
        <v>286</v>
      </c>
      <c r="H1130" s="285">
        <f t="shared" si="240"/>
        <v>0</v>
      </c>
      <c r="I1130" s="285">
        <f t="shared" si="240"/>
        <v>0</v>
      </c>
      <c r="J1130" s="324">
        <f t="shared" ref="J1130:J1139" si="241">ROUND(IF(C1130=0,IF(D1130=0,0,1),IF(D1130=0,-1,D1130/C1130)),4)*100</f>
        <v>1588.89</v>
      </c>
      <c r="K1130" s="294" t="s">
        <v>3555</v>
      </c>
      <c r="L1130" s="44">
        <v>1</v>
      </c>
      <c r="M1130" s="308" t="s">
        <v>3217</v>
      </c>
      <c r="N1130" s="308"/>
      <c r="O1130" s="320" t="s">
        <v>797</v>
      </c>
      <c r="P1130" s="340" t="s">
        <v>4367</v>
      </c>
    </row>
    <row r="1131" s="106" customFormat="1" ht="20.1" customHeight="1" spans="1:16">
      <c r="A1131" s="279" t="s">
        <v>3226</v>
      </c>
      <c r="B1131" s="41" t="s">
        <v>3227</v>
      </c>
      <c r="C1131" s="287">
        <v>0</v>
      </c>
      <c r="D1131" s="288">
        <f t="shared" si="234"/>
        <v>0</v>
      </c>
      <c r="E1131" s="287"/>
      <c r="F1131" s="287"/>
      <c r="G1131" s="287"/>
      <c r="H1131" s="287"/>
      <c r="I1131" s="302"/>
      <c r="J1131" s="303">
        <f t="shared" si="241"/>
        <v>0</v>
      </c>
      <c r="K1131" s="294" t="s">
        <v>3555</v>
      </c>
      <c r="L1131" s="44">
        <v>1</v>
      </c>
      <c r="M1131" s="308" t="s">
        <v>3219</v>
      </c>
      <c r="N1131" s="308"/>
      <c r="O1131" s="320" t="s">
        <v>797</v>
      </c>
      <c r="P1131" s="340" t="s">
        <v>4368</v>
      </c>
    </row>
    <row r="1132" s="106" customFormat="1" ht="20.1" customHeight="1" spans="1:16">
      <c r="A1132" s="279" t="s">
        <v>3228</v>
      </c>
      <c r="B1132" s="41" t="s">
        <v>3229</v>
      </c>
      <c r="C1132" s="287">
        <v>18</v>
      </c>
      <c r="D1132" s="288">
        <f t="shared" si="234"/>
        <v>286</v>
      </c>
      <c r="E1132" s="287"/>
      <c r="F1132" s="287"/>
      <c r="G1132" s="287">
        <v>286</v>
      </c>
      <c r="H1132" s="287"/>
      <c r="I1132" s="302"/>
      <c r="J1132" s="303">
        <f t="shared" si="241"/>
        <v>1588.89</v>
      </c>
      <c r="K1132" s="294" t="s">
        <v>3555</v>
      </c>
      <c r="L1132" s="44">
        <v>1</v>
      </c>
      <c r="M1132" s="308" t="s">
        <v>3221</v>
      </c>
      <c r="N1132" s="308"/>
      <c r="O1132" s="320" t="s">
        <v>797</v>
      </c>
      <c r="P1132" s="340" t="s">
        <v>4369</v>
      </c>
    </row>
    <row r="1133" s="106" customFormat="1" ht="20.1" customHeight="1" spans="1:16">
      <c r="A1133" s="279" t="s">
        <v>3230</v>
      </c>
      <c r="B1133" s="41" t="s">
        <v>3231</v>
      </c>
      <c r="C1133" s="287">
        <v>0</v>
      </c>
      <c r="D1133" s="288">
        <f t="shared" si="234"/>
        <v>0</v>
      </c>
      <c r="E1133" s="287"/>
      <c r="F1133" s="287"/>
      <c r="G1133" s="287"/>
      <c r="H1133" s="287"/>
      <c r="I1133" s="302"/>
      <c r="J1133" s="303">
        <f t="shared" si="241"/>
        <v>0</v>
      </c>
      <c r="K1133" s="294" t="s">
        <v>3555</v>
      </c>
      <c r="L1133" s="44">
        <v>1</v>
      </c>
      <c r="M1133" s="308" t="s">
        <v>3223</v>
      </c>
      <c r="N1133" s="308"/>
      <c r="O1133" s="320" t="s">
        <v>797</v>
      </c>
      <c r="P1133" s="340" t="s">
        <v>4370</v>
      </c>
    </row>
    <row r="1134" s="107" customFormat="1" ht="20.1" customHeight="1" spans="1:16">
      <c r="A1134" s="279" t="s">
        <v>3232</v>
      </c>
      <c r="B1134" s="41" t="s">
        <v>3233</v>
      </c>
      <c r="C1134" s="287">
        <v>0</v>
      </c>
      <c r="D1134" s="288">
        <f t="shared" si="234"/>
        <v>0</v>
      </c>
      <c r="E1134" s="287"/>
      <c r="F1134" s="287"/>
      <c r="G1134" s="287"/>
      <c r="H1134" s="287"/>
      <c r="I1134" s="302"/>
      <c r="J1134" s="303">
        <f t="shared" si="241"/>
        <v>0</v>
      </c>
      <c r="K1134" s="300" t="s">
        <v>3551</v>
      </c>
      <c r="L1134" s="301"/>
      <c r="M1134" s="312" t="s">
        <v>798</v>
      </c>
      <c r="N1134" s="312" t="s">
        <v>794</v>
      </c>
      <c r="O1134" s="312" t="s">
        <v>798</v>
      </c>
      <c r="P1134" s="313" t="s">
        <v>4371</v>
      </c>
    </row>
    <row r="1135" s="106" customFormat="1" ht="20.1" customHeight="1" spans="1:16">
      <c r="A1135" s="279" t="s">
        <v>3234</v>
      </c>
      <c r="B1135" s="41" t="s">
        <v>3235</v>
      </c>
      <c r="C1135" s="287">
        <v>0</v>
      </c>
      <c r="D1135" s="288">
        <f t="shared" si="234"/>
        <v>0</v>
      </c>
      <c r="E1135" s="287"/>
      <c r="F1135" s="287"/>
      <c r="G1135" s="287"/>
      <c r="H1135" s="287"/>
      <c r="I1135" s="302"/>
      <c r="J1135" s="303">
        <f t="shared" si="241"/>
        <v>0</v>
      </c>
      <c r="K1135" s="294" t="s">
        <v>3555</v>
      </c>
      <c r="L1135" s="44">
        <v>1</v>
      </c>
      <c r="M1135" s="308" t="s">
        <v>3226</v>
      </c>
      <c r="N1135" s="308"/>
      <c r="O1135" s="308" t="s">
        <v>798</v>
      </c>
      <c r="P1135" s="309" t="s">
        <v>4372</v>
      </c>
    </row>
    <row r="1136" s="106" customFormat="1" ht="19.5" customHeight="1" spans="1:16">
      <c r="A1136" s="283" t="s">
        <v>799</v>
      </c>
      <c r="B1136" s="323" t="s">
        <v>3236</v>
      </c>
      <c r="C1136" s="285">
        <f t="shared" ref="C1136:I1136" si="242">SUM(C1137:C1138)</f>
        <v>0</v>
      </c>
      <c r="D1136" s="285">
        <f t="shared" si="234"/>
        <v>0</v>
      </c>
      <c r="E1136" s="285">
        <f t="shared" si="242"/>
        <v>0</v>
      </c>
      <c r="F1136" s="285">
        <f t="shared" si="242"/>
        <v>0</v>
      </c>
      <c r="G1136" s="285">
        <f t="shared" si="242"/>
        <v>0</v>
      </c>
      <c r="H1136" s="285">
        <f t="shared" si="242"/>
        <v>0</v>
      </c>
      <c r="I1136" s="285">
        <f t="shared" si="242"/>
        <v>0</v>
      </c>
      <c r="J1136" s="324">
        <f t="shared" si="241"/>
        <v>0</v>
      </c>
      <c r="K1136" s="294" t="s">
        <v>3555</v>
      </c>
      <c r="L1136" s="44">
        <v>1</v>
      </c>
      <c r="M1136" s="308" t="s">
        <v>3228</v>
      </c>
      <c r="N1136" s="308"/>
      <c r="O1136" s="308" t="s">
        <v>798</v>
      </c>
      <c r="P1136" s="314" t="s">
        <v>4373</v>
      </c>
    </row>
    <row r="1137" s="106" customFormat="1" ht="20.1" customHeight="1" spans="1:16">
      <c r="A1137" s="279" t="s">
        <v>3237</v>
      </c>
      <c r="B1137" s="41" t="s">
        <v>3238</v>
      </c>
      <c r="C1137" s="287">
        <v>0</v>
      </c>
      <c r="D1137" s="288">
        <f t="shared" si="234"/>
        <v>0</v>
      </c>
      <c r="E1137" s="287"/>
      <c r="F1137" s="287"/>
      <c r="G1137" s="287"/>
      <c r="H1137" s="287"/>
      <c r="I1137" s="302"/>
      <c r="J1137" s="303">
        <f t="shared" si="241"/>
        <v>0</v>
      </c>
      <c r="K1137" s="294" t="s">
        <v>3555</v>
      </c>
      <c r="L1137" s="44">
        <v>1</v>
      </c>
      <c r="M1137" s="308" t="s">
        <v>3230</v>
      </c>
      <c r="N1137" s="308"/>
      <c r="O1137" s="308" t="s">
        <v>798</v>
      </c>
      <c r="P1137" s="309" t="s">
        <v>4374</v>
      </c>
    </row>
    <row r="1138" s="106" customFormat="1" ht="20.1" customHeight="1" spans="1:16">
      <c r="A1138" s="279" t="s">
        <v>3239</v>
      </c>
      <c r="B1138" s="41" t="s">
        <v>3240</v>
      </c>
      <c r="C1138" s="287"/>
      <c r="D1138" s="288">
        <f t="shared" si="234"/>
        <v>0</v>
      </c>
      <c r="E1138" s="287"/>
      <c r="F1138" s="287"/>
      <c r="G1138" s="287"/>
      <c r="H1138" s="287"/>
      <c r="I1138" s="302"/>
      <c r="J1138" s="303">
        <f t="shared" si="241"/>
        <v>0</v>
      </c>
      <c r="K1138" s="294" t="s">
        <v>3555</v>
      </c>
      <c r="L1138" s="44">
        <v>1</v>
      </c>
      <c r="M1138" s="308" t="s">
        <v>3232</v>
      </c>
      <c r="N1138" s="308"/>
      <c r="O1138" s="308" t="s">
        <v>798</v>
      </c>
      <c r="P1138" s="309" t="s">
        <v>4375</v>
      </c>
    </row>
    <row r="1139" s="106" customFormat="1" ht="20.1" customHeight="1" spans="1:16">
      <c r="A1139" s="283" t="s">
        <v>800</v>
      </c>
      <c r="B1139" s="323" t="s">
        <v>3241</v>
      </c>
      <c r="C1139" s="285">
        <f t="shared" ref="C1139:I1139" si="243">SUM(C1140:C1141)</f>
        <v>0</v>
      </c>
      <c r="D1139" s="285">
        <f t="shared" si="234"/>
        <v>0</v>
      </c>
      <c r="E1139" s="285">
        <f t="shared" si="243"/>
        <v>0</v>
      </c>
      <c r="F1139" s="285">
        <f t="shared" si="243"/>
        <v>0</v>
      </c>
      <c r="G1139" s="285">
        <f t="shared" si="243"/>
        <v>0</v>
      </c>
      <c r="H1139" s="285">
        <f t="shared" si="243"/>
        <v>0</v>
      </c>
      <c r="I1139" s="285">
        <f t="shared" si="243"/>
        <v>0</v>
      </c>
      <c r="J1139" s="324">
        <f t="shared" si="241"/>
        <v>0</v>
      </c>
      <c r="K1139" s="294" t="s">
        <v>3555</v>
      </c>
      <c r="L1139" s="44">
        <v>1</v>
      </c>
      <c r="M1139" s="308" t="s">
        <v>3234</v>
      </c>
      <c r="N1139" s="308"/>
      <c r="O1139" s="308" t="s">
        <v>798</v>
      </c>
      <c r="P1139" s="309" t="s">
        <v>4376</v>
      </c>
    </row>
    <row r="1140" s="107" customFormat="1" ht="20.1" customHeight="1" spans="1:16">
      <c r="A1140" s="279" t="s">
        <v>3242</v>
      </c>
      <c r="B1140" s="41" t="s">
        <v>3243</v>
      </c>
      <c r="C1140" s="287"/>
      <c r="D1140" s="287">
        <f t="shared" si="234"/>
        <v>0</v>
      </c>
      <c r="E1140" s="287"/>
      <c r="F1140" s="287"/>
      <c r="G1140" s="287"/>
      <c r="H1140" s="287"/>
      <c r="I1140" s="302"/>
      <c r="J1140" s="303"/>
      <c r="K1140" s="300" t="s">
        <v>3551</v>
      </c>
      <c r="L1140" s="301"/>
      <c r="M1140" s="312" t="s">
        <v>799</v>
      </c>
      <c r="N1140" s="312" t="s">
        <v>794</v>
      </c>
      <c r="O1140" s="312" t="s">
        <v>799</v>
      </c>
      <c r="P1140" s="341" t="s">
        <v>4377</v>
      </c>
    </row>
    <row r="1141" s="106" customFormat="1" ht="20.1" customHeight="1" spans="1:16">
      <c r="A1141" s="279" t="s">
        <v>3244</v>
      </c>
      <c r="B1141" s="41" t="s">
        <v>435</v>
      </c>
      <c r="C1141" s="287"/>
      <c r="D1141" s="287">
        <f t="shared" si="234"/>
        <v>0</v>
      </c>
      <c r="E1141" s="287"/>
      <c r="F1141" s="287"/>
      <c r="G1141" s="287"/>
      <c r="H1141" s="287"/>
      <c r="I1141" s="302"/>
      <c r="J1141" s="303"/>
      <c r="K1141" s="294" t="s">
        <v>3555</v>
      </c>
      <c r="L1141" s="44">
        <v>1</v>
      </c>
      <c r="M1141" s="308" t="s">
        <v>3237</v>
      </c>
      <c r="N1141" s="308"/>
      <c r="O1141" s="308" t="s">
        <v>799</v>
      </c>
      <c r="P1141" s="340" t="s">
        <v>4378</v>
      </c>
    </row>
    <row r="1142" s="106" customFormat="1" ht="19.5" customHeight="1" spans="1:16">
      <c r="A1142" s="280" t="s">
        <v>801</v>
      </c>
      <c r="B1142" s="281" t="s">
        <v>802</v>
      </c>
      <c r="C1142" s="282">
        <v>0</v>
      </c>
      <c r="D1142" s="282">
        <f t="shared" si="234"/>
        <v>0</v>
      </c>
      <c r="E1142" s="282">
        <f t="shared" ref="E1142:H1142" si="244">SUM(E1143:E1151)</f>
        <v>0</v>
      </c>
      <c r="F1142" s="282">
        <f t="shared" si="244"/>
        <v>0</v>
      </c>
      <c r="G1142" s="282">
        <f>VLOOKUP(A1142,[1]√表四、2025年公共财政支出变动表!$A$8:$S$221,18,FALSE)</f>
        <v>0</v>
      </c>
      <c r="H1142" s="282">
        <f t="shared" si="244"/>
        <v>0</v>
      </c>
      <c r="I1142" s="282"/>
      <c r="J1142" s="296">
        <f t="shared" ref="J1142:J1167" si="245">ROUND(IF(C1142=0,IF(D1142=0,0,1),IF(D1142=0,-1,D1142/C1142)),4)*100</f>
        <v>0</v>
      </c>
      <c r="K1142" s="294" t="s">
        <v>3555</v>
      </c>
      <c r="L1142" s="44">
        <v>1</v>
      </c>
      <c r="M1142" s="308" t="s">
        <v>3239</v>
      </c>
      <c r="N1142" s="308"/>
      <c r="O1142" s="308" t="s">
        <v>799</v>
      </c>
      <c r="P1142" s="340" t="s">
        <v>4379</v>
      </c>
    </row>
    <row r="1143" s="107" customFormat="1" ht="20.1" customHeight="1" spans="1:16">
      <c r="A1143" s="283" t="s">
        <v>803</v>
      </c>
      <c r="B1143" s="323" t="s">
        <v>3245</v>
      </c>
      <c r="C1143" s="285">
        <v>0</v>
      </c>
      <c r="D1143" s="285">
        <f t="shared" si="234"/>
        <v>0</v>
      </c>
      <c r="E1143" s="285"/>
      <c r="F1143" s="285"/>
      <c r="G1143" s="285"/>
      <c r="H1143" s="285"/>
      <c r="I1143" s="285"/>
      <c r="J1143" s="324">
        <f t="shared" si="245"/>
        <v>0</v>
      </c>
      <c r="K1143" s="300" t="s">
        <v>3551</v>
      </c>
      <c r="L1143" s="301">
        <v>1</v>
      </c>
      <c r="M1143" s="312" t="s">
        <v>800</v>
      </c>
      <c r="N1143" s="312" t="s">
        <v>794</v>
      </c>
      <c r="O1143" s="312" t="s">
        <v>800</v>
      </c>
      <c r="P1143" s="313" t="s">
        <v>4380</v>
      </c>
    </row>
    <row r="1144" s="106" customFormat="1" ht="20.1" customHeight="1" spans="1:16">
      <c r="A1144" s="283" t="s">
        <v>805</v>
      </c>
      <c r="B1144" s="128" t="s">
        <v>3246</v>
      </c>
      <c r="C1144" s="285">
        <v>0</v>
      </c>
      <c r="D1144" s="285">
        <f t="shared" si="234"/>
        <v>0</v>
      </c>
      <c r="E1144" s="285"/>
      <c r="F1144" s="285"/>
      <c r="G1144" s="285"/>
      <c r="H1144" s="285"/>
      <c r="I1144" s="354"/>
      <c r="J1144" s="299">
        <f t="shared" si="245"/>
        <v>0</v>
      </c>
      <c r="K1144" s="294" t="s">
        <v>3555</v>
      </c>
      <c r="L1144" s="44">
        <v>1</v>
      </c>
      <c r="M1144" s="308" t="s">
        <v>3242</v>
      </c>
      <c r="N1144" s="308"/>
      <c r="O1144" s="308" t="s">
        <v>800</v>
      </c>
      <c r="P1144" s="309" t="s">
        <v>4381</v>
      </c>
    </row>
    <row r="1145" s="106" customFormat="1" ht="20.1" customHeight="1" spans="1:16">
      <c r="A1145" s="283" t="s">
        <v>807</v>
      </c>
      <c r="B1145" s="128" t="s">
        <v>3247</v>
      </c>
      <c r="C1145" s="285">
        <v>0</v>
      </c>
      <c r="D1145" s="285">
        <f t="shared" si="234"/>
        <v>0</v>
      </c>
      <c r="E1145" s="285"/>
      <c r="F1145" s="285"/>
      <c r="G1145" s="285"/>
      <c r="H1145" s="285"/>
      <c r="I1145" s="354"/>
      <c r="J1145" s="299">
        <f t="shared" si="245"/>
        <v>0</v>
      </c>
      <c r="K1145" s="294" t="s">
        <v>3555</v>
      </c>
      <c r="L1145" s="44">
        <v>1</v>
      </c>
      <c r="M1145" s="308" t="s">
        <v>3244</v>
      </c>
      <c r="N1145" s="308"/>
      <c r="O1145" s="308" t="s">
        <v>800</v>
      </c>
      <c r="P1145" s="309" t="s">
        <v>4380</v>
      </c>
    </row>
    <row r="1146" s="107" customFormat="1" ht="20.1" customHeight="1" spans="1:16">
      <c r="A1146" s="283" t="s">
        <v>809</v>
      </c>
      <c r="B1146" s="128" t="s">
        <v>3248</v>
      </c>
      <c r="C1146" s="285">
        <v>0</v>
      </c>
      <c r="D1146" s="285">
        <f t="shared" si="234"/>
        <v>0</v>
      </c>
      <c r="E1146" s="285"/>
      <c r="F1146" s="285"/>
      <c r="G1146" s="285"/>
      <c r="H1146" s="285"/>
      <c r="I1146" s="354"/>
      <c r="J1146" s="299">
        <f t="shared" si="245"/>
        <v>0</v>
      </c>
      <c r="K1146" s="297" t="s">
        <v>3550</v>
      </c>
      <c r="L1146" s="298"/>
      <c r="M1146" s="310" t="s">
        <v>801</v>
      </c>
      <c r="N1146" s="310" t="s">
        <v>801</v>
      </c>
      <c r="O1146" s="310" t="s">
        <v>801</v>
      </c>
      <c r="P1146" s="311" t="s">
        <v>4382</v>
      </c>
    </row>
    <row r="1147" s="107" customFormat="1" ht="20.1" customHeight="1" spans="1:16">
      <c r="A1147" s="283" t="s">
        <v>811</v>
      </c>
      <c r="B1147" s="128" t="s">
        <v>3249</v>
      </c>
      <c r="C1147" s="285">
        <v>0</v>
      </c>
      <c r="D1147" s="285">
        <f t="shared" si="234"/>
        <v>0</v>
      </c>
      <c r="E1147" s="285"/>
      <c r="F1147" s="285"/>
      <c r="G1147" s="285"/>
      <c r="H1147" s="285"/>
      <c r="I1147" s="354"/>
      <c r="J1147" s="299">
        <f t="shared" si="245"/>
        <v>0</v>
      </c>
      <c r="K1147" s="300" t="s">
        <v>3551</v>
      </c>
      <c r="L1147" s="301">
        <v>1</v>
      </c>
      <c r="M1147" s="312" t="s">
        <v>803</v>
      </c>
      <c r="N1147" s="312" t="s">
        <v>801</v>
      </c>
      <c r="O1147" s="312" t="s">
        <v>803</v>
      </c>
      <c r="P1147" s="313" t="s">
        <v>4383</v>
      </c>
    </row>
    <row r="1148" s="107" customFormat="1" ht="20.1" customHeight="1" spans="1:16">
      <c r="A1148" s="283" t="s">
        <v>813</v>
      </c>
      <c r="B1148" s="128" t="s">
        <v>2802</v>
      </c>
      <c r="C1148" s="285">
        <v>0</v>
      </c>
      <c r="D1148" s="285">
        <f t="shared" si="234"/>
        <v>0</v>
      </c>
      <c r="E1148" s="285"/>
      <c r="F1148" s="285"/>
      <c r="G1148" s="285"/>
      <c r="H1148" s="285"/>
      <c r="I1148" s="354"/>
      <c r="J1148" s="299">
        <f t="shared" si="245"/>
        <v>0</v>
      </c>
      <c r="K1148" s="300" t="s">
        <v>3551</v>
      </c>
      <c r="L1148" s="301">
        <v>1</v>
      </c>
      <c r="M1148" s="312" t="s">
        <v>805</v>
      </c>
      <c r="N1148" s="312" t="s">
        <v>801</v>
      </c>
      <c r="O1148" s="312" t="s">
        <v>805</v>
      </c>
      <c r="P1148" s="355" t="s">
        <v>4384</v>
      </c>
    </row>
    <row r="1149" s="107" customFormat="1" ht="20.1" customHeight="1" spans="1:16">
      <c r="A1149" s="283" t="s">
        <v>814</v>
      </c>
      <c r="B1149" s="128" t="s">
        <v>3250</v>
      </c>
      <c r="C1149" s="285">
        <v>0</v>
      </c>
      <c r="D1149" s="285">
        <f t="shared" si="234"/>
        <v>0</v>
      </c>
      <c r="E1149" s="285"/>
      <c r="F1149" s="285"/>
      <c r="G1149" s="285"/>
      <c r="H1149" s="285"/>
      <c r="I1149" s="354"/>
      <c r="J1149" s="299">
        <f t="shared" si="245"/>
        <v>0</v>
      </c>
      <c r="K1149" s="300" t="s">
        <v>3551</v>
      </c>
      <c r="L1149" s="301">
        <v>1</v>
      </c>
      <c r="M1149" s="312" t="s">
        <v>807</v>
      </c>
      <c r="N1149" s="312" t="s">
        <v>801</v>
      </c>
      <c r="O1149" s="312" t="s">
        <v>807</v>
      </c>
      <c r="P1149" s="355" t="s">
        <v>4385</v>
      </c>
    </row>
    <row r="1150" s="107" customFormat="1" ht="20.1" customHeight="1" spans="1:16">
      <c r="A1150" s="283" t="s">
        <v>816</v>
      </c>
      <c r="B1150" s="128" t="s">
        <v>3251</v>
      </c>
      <c r="C1150" s="285">
        <v>0</v>
      </c>
      <c r="D1150" s="285">
        <f t="shared" si="234"/>
        <v>0</v>
      </c>
      <c r="E1150" s="285"/>
      <c r="F1150" s="285"/>
      <c r="G1150" s="285"/>
      <c r="H1150" s="285"/>
      <c r="I1150" s="354"/>
      <c r="J1150" s="299">
        <f t="shared" si="245"/>
        <v>0</v>
      </c>
      <c r="K1150" s="300" t="s">
        <v>3551</v>
      </c>
      <c r="L1150" s="301">
        <v>1</v>
      </c>
      <c r="M1150" s="312" t="s">
        <v>809</v>
      </c>
      <c r="N1150" s="312" t="s">
        <v>801</v>
      </c>
      <c r="O1150" s="312" t="s">
        <v>809</v>
      </c>
      <c r="P1150" s="355" t="s">
        <v>4386</v>
      </c>
    </row>
    <row r="1151" s="107" customFormat="1" ht="20.1" customHeight="1" spans="1:16">
      <c r="A1151" s="283" t="s">
        <v>818</v>
      </c>
      <c r="B1151" s="128" t="s">
        <v>3252</v>
      </c>
      <c r="C1151" s="285">
        <v>0</v>
      </c>
      <c r="D1151" s="285">
        <f t="shared" si="234"/>
        <v>0</v>
      </c>
      <c r="E1151" s="285"/>
      <c r="F1151" s="285"/>
      <c r="G1151" s="285"/>
      <c r="H1151" s="285"/>
      <c r="I1151" s="354"/>
      <c r="J1151" s="299">
        <f t="shared" si="245"/>
        <v>0</v>
      </c>
      <c r="K1151" s="300" t="s">
        <v>3551</v>
      </c>
      <c r="L1151" s="301">
        <v>1</v>
      </c>
      <c r="M1151" s="312" t="s">
        <v>811</v>
      </c>
      <c r="N1151" s="312" t="s">
        <v>801</v>
      </c>
      <c r="O1151" s="312" t="s">
        <v>811</v>
      </c>
      <c r="P1151" s="355" t="s">
        <v>4387</v>
      </c>
    </row>
    <row r="1152" s="107" customFormat="1" ht="20.1" customHeight="1" spans="1:16">
      <c r="A1152" s="280" t="s">
        <v>820</v>
      </c>
      <c r="B1152" s="281" t="s">
        <v>821</v>
      </c>
      <c r="C1152" s="282">
        <f t="shared" ref="C1152:I1152" si="246">C1153+C1180+C1195</f>
        <v>1098</v>
      </c>
      <c r="D1152" s="282">
        <f t="shared" si="234"/>
        <v>1230</v>
      </c>
      <c r="E1152" s="282">
        <f t="shared" si="246"/>
        <v>0</v>
      </c>
      <c r="F1152" s="282">
        <f t="shared" si="246"/>
        <v>108</v>
      </c>
      <c r="G1152" s="282">
        <f t="shared" si="246"/>
        <v>163</v>
      </c>
      <c r="H1152" s="282">
        <f t="shared" si="246"/>
        <v>0</v>
      </c>
      <c r="I1152" s="282">
        <f t="shared" si="246"/>
        <v>959</v>
      </c>
      <c r="J1152" s="296">
        <f t="shared" si="245"/>
        <v>112.02</v>
      </c>
      <c r="K1152" s="300" t="s">
        <v>3551</v>
      </c>
      <c r="L1152" s="301">
        <v>1</v>
      </c>
      <c r="M1152" s="312" t="s">
        <v>813</v>
      </c>
      <c r="N1152" s="312" t="s">
        <v>801</v>
      </c>
      <c r="O1152" s="312" t="s">
        <v>813</v>
      </c>
      <c r="P1152" s="355" t="s">
        <v>4169</v>
      </c>
    </row>
    <row r="1153" s="107" customFormat="1" ht="20.1" customHeight="1" spans="1:16">
      <c r="A1153" s="283" t="s">
        <v>822</v>
      </c>
      <c r="B1153" s="323" t="s">
        <v>3253</v>
      </c>
      <c r="C1153" s="285">
        <f t="shared" ref="C1153:I1153" si="247">SUM(C1154:C1179)</f>
        <v>1033</v>
      </c>
      <c r="D1153" s="285">
        <f t="shared" si="234"/>
        <v>1145</v>
      </c>
      <c r="E1153" s="285">
        <f t="shared" si="247"/>
        <v>0</v>
      </c>
      <c r="F1153" s="285">
        <f t="shared" si="247"/>
        <v>108</v>
      </c>
      <c r="G1153" s="285">
        <f t="shared" si="247"/>
        <v>163</v>
      </c>
      <c r="H1153" s="285">
        <f t="shared" si="247"/>
        <v>0</v>
      </c>
      <c r="I1153" s="285">
        <f t="shared" si="247"/>
        <v>874</v>
      </c>
      <c r="J1153" s="324">
        <f t="shared" si="245"/>
        <v>110.84</v>
      </c>
      <c r="K1153" s="300" t="s">
        <v>3551</v>
      </c>
      <c r="L1153" s="301">
        <v>1</v>
      </c>
      <c r="M1153" s="312" t="s">
        <v>814</v>
      </c>
      <c r="N1153" s="312" t="s">
        <v>801</v>
      </c>
      <c r="O1153" s="312" t="s">
        <v>814</v>
      </c>
      <c r="P1153" s="355" t="s">
        <v>4388</v>
      </c>
    </row>
    <row r="1154" s="107" customFormat="1" ht="20.1" customHeight="1" spans="1:16">
      <c r="A1154" s="279" t="s">
        <v>3254</v>
      </c>
      <c r="B1154" s="41" t="s">
        <v>1458</v>
      </c>
      <c r="C1154" s="287">
        <v>581</v>
      </c>
      <c r="D1154" s="288">
        <f t="shared" si="234"/>
        <v>545</v>
      </c>
      <c r="E1154" s="287"/>
      <c r="F1154" s="287"/>
      <c r="G1154" s="287"/>
      <c r="H1154" s="287"/>
      <c r="I1154" s="302">
        <v>545</v>
      </c>
      <c r="J1154" s="303">
        <f t="shared" si="245"/>
        <v>93.8</v>
      </c>
      <c r="K1154" s="300" t="s">
        <v>3551</v>
      </c>
      <c r="L1154" s="301">
        <v>1</v>
      </c>
      <c r="M1154" s="312" t="s">
        <v>816</v>
      </c>
      <c r="N1154" s="312" t="s">
        <v>801</v>
      </c>
      <c r="O1154" s="312" t="s">
        <v>816</v>
      </c>
      <c r="P1154" s="355" t="s">
        <v>4389</v>
      </c>
    </row>
    <row r="1155" s="107" customFormat="1" ht="20.1" customHeight="1" spans="1:16">
      <c r="A1155" s="279" t="s">
        <v>3255</v>
      </c>
      <c r="B1155" s="41" t="s">
        <v>1460</v>
      </c>
      <c r="C1155" s="287">
        <v>4</v>
      </c>
      <c r="D1155" s="288">
        <f t="shared" si="234"/>
        <v>0</v>
      </c>
      <c r="E1155" s="287"/>
      <c r="F1155" s="287"/>
      <c r="G1155" s="287"/>
      <c r="H1155" s="287"/>
      <c r="I1155" s="302"/>
      <c r="J1155" s="303">
        <f t="shared" si="245"/>
        <v>-100</v>
      </c>
      <c r="K1155" s="300" t="s">
        <v>3551</v>
      </c>
      <c r="L1155" s="301">
        <v>1</v>
      </c>
      <c r="M1155" s="312" t="s">
        <v>818</v>
      </c>
      <c r="N1155" s="312" t="s">
        <v>801</v>
      </c>
      <c r="O1155" s="312" t="s">
        <v>818</v>
      </c>
      <c r="P1155" s="355" t="s">
        <v>3711</v>
      </c>
    </row>
    <row r="1156" s="107" customFormat="1" ht="20.1" customHeight="1" spans="1:16">
      <c r="A1156" s="279" t="s">
        <v>3256</v>
      </c>
      <c r="B1156" s="41" t="s">
        <v>1462</v>
      </c>
      <c r="C1156" s="287"/>
      <c r="D1156" s="288">
        <f t="shared" si="234"/>
        <v>0</v>
      </c>
      <c r="E1156" s="287"/>
      <c r="F1156" s="287"/>
      <c r="G1156" s="287"/>
      <c r="H1156" s="287"/>
      <c r="I1156" s="302"/>
      <c r="J1156" s="303">
        <f t="shared" si="245"/>
        <v>0</v>
      </c>
      <c r="K1156" s="297" t="s">
        <v>3550</v>
      </c>
      <c r="L1156" s="298"/>
      <c r="M1156" s="310" t="s">
        <v>820</v>
      </c>
      <c r="N1156" s="310" t="s">
        <v>820</v>
      </c>
      <c r="O1156" s="310" t="s">
        <v>820</v>
      </c>
      <c r="P1156" s="311" t="s">
        <v>4390</v>
      </c>
    </row>
    <row r="1157" s="107" customFormat="1" ht="20.1" customHeight="1" spans="1:16">
      <c r="A1157" s="279" t="s">
        <v>3257</v>
      </c>
      <c r="B1157" s="41" t="s">
        <v>3258</v>
      </c>
      <c r="C1157" s="287">
        <v>5</v>
      </c>
      <c r="D1157" s="288">
        <f t="shared" si="234"/>
        <v>0</v>
      </c>
      <c r="E1157" s="287"/>
      <c r="F1157" s="287"/>
      <c r="G1157" s="287"/>
      <c r="H1157" s="287"/>
      <c r="I1157" s="302"/>
      <c r="J1157" s="303">
        <f t="shared" si="245"/>
        <v>-100</v>
      </c>
      <c r="K1157" s="300" t="s">
        <v>3551</v>
      </c>
      <c r="L1157" s="301"/>
      <c r="M1157" s="312" t="s">
        <v>822</v>
      </c>
      <c r="N1157" s="312" t="s">
        <v>820</v>
      </c>
      <c r="O1157" s="312" t="s">
        <v>822</v>
      </c>
      <c r="P1157" s="313" t="s">
        <v>4391</v>
      </c>
    </row>
    <row r="1158" s="106" customFormat="1" ht="20.1" customHeight="1" spans="1:16">
      <c r="A1158" s="279" t="s">
        <v>3259</v>
      </c>
      <c r="B1158" s="41" t="s">
        <v>3260</v>
      </c>
      <c r="C1158" s="287">
        <v>101</v>
      </c>
      <c r="D1158" s="288">
        <f t="shared" ref="D1158:D1195" si="248">SUM(E1158:I1158)</f>
        <v>271</v>
      </c>
      <c r="E1158" s="287"/>
      <c r="F1158" s="287">
        <v>108</v>
      </c>
      <c r="G1158" s="287">
        <v>163</v>
      </c>
      <c r="H1158" s="287"/>
      <c r="I1158" s="302"/>
      <c r="J1158" s="303">
        <f t="shared" si="245"/>
        <v>268.32</v>
      </c>
      <c r="K1158" s="294" t="s">
        <v>3555</v>
      </c>
      <c r="L1158" s="44">
        <v>1</v>
      </c>
      <c r="M1158" s="308" t="s">
        <v>3254</v>
      </c>
      <c r="N1158" s="308"/>
      <c r="O1158" s="308" t="s">
        <v>822</v>
      </c>
      <c r="P1158" s="314" t="s">
        <v>3556</v>
      </c>
    </row>
    <row r="1159" s="106" customFormat="1" ht="20.1" customHeight="1" spans="1:16">
      <c r="A1159" s="279" t="s">
        <v>3261</v>
      </c>
      <c r="B1159" s="41" t="s">
        <v>3262</v>
      </c>
      <c r="C1159" s="287"/>
      <c r="D1159" s="288">
        <f t="shared" si="248"/>
        <v>0</v>
      </c>
      <c r="E1159" s="287"/>
      <c r="F1159" s="287"/>
      <c r="G1159" s="287"/>
      <c r="H1159" s="287"/>
      <c r="I1159" s="302"/>
      <c r="J1159" s="303">
        <f t="shared" si="245"/>
        <v>0</v>
      </c>
      <c r="K1159" s="294" t="s">
        <v>3555</v>
      </c>
      <c r="L1159" s="44">
        <v>1</v>
      </c>
      <c r="M1159" s="308" t="s">
        <v>3255</v>
      </c>
      <c r="N1159" s="308"/>
      <c r="O1159" s="308" t="s">
        <v>822</v>
      </c>
      <c r="P1159" s="314" t="s">
        <v>3557</v>
      </c>
    </row>
    <row r="1160" s="106" customFormat="1" ht="20.1" customHeight="1" spans="1:16">
      <c r="A1160" s="279" t="s">
        <v>3263</v>
      </c>
      <c r="B1160" s="41" t="s">
        <v>3264</v>
      </c>
      <c r="C1160" s="287">
        <v>18</v>
      </c>
      <c r="D1160" s="288">
        <f t="shared" si="248"/>
        <v>25</v>
      </c>
      <c r="E1160" s="287"/>
      <c r="F1160" s="287"/>
      <c r="G1160" s="287"/>
      <c r="H1160" s="287"/>
      <c r="I1160" s="302">
        <v>25</v>
      </c>
      <c r="J1160" s="303">
        <f t="shared" si="245"/>
        <v>138.89</v>
      </c>
      <c r="K1160" s="294" t="s">
        <v>3555</v>
      </c>
      <c r="L1160" s="44">
        <v>1</v>
      </c>
      <c r="M1160" s="308" t="s">
        <v>3256</v>
      </c>
      <c r="N1160" s="308"/>
      <c r="O1160" s="308" t="s">
        <v>822</v>
      </c>
      <c r="P1160" s="314" t="s">
        <v>3558</v>
      </c>
    </row>
    <row r="1161" s="106" customFormat="1" ht="20.1" customHeight="1" spans="1:16">
      <c r="A1161" s="279" t="s">
        <v>3265</v>
      </c>
      <c r="B1161" s="41" t="s">
        <v>3266</v>
      </c>
      <c r="C1161" s="287">
        <v>33</v>
      </c>
      <c r="D1161" s="288">
        <f t="shared" si="248"/>
        <v>0</v>
      </c>
      <c r="E1161" s="287"/>
      <c r="F1161" s="287"/>
      <c r="G1161" s="287"/>
      <c r="H1161" s="287"/>
      <c r="I1161" s="302"/>
      <c r="J1161" s="303">
        <f t="shared" si="245"/>
        <v>-100</v>
      </c>
      <c r="K1161" s="294" t="s">
        <v>3555</v>
      </c>
      <c r="L1161" s="44">
        <v>1</v>
      </c>
      <c r="M1161" s="308" t="s">
        <v>3257</v>
      </c>
      <c r="N1161" s="308"/>
      <c r="O1161" s="308" t="s">
        <v>822</v>
      </c>
      <c r="P1161" s="314" t="s">
        <v>4392</v>
      </c>
    </row>
    <row r="1162" s="106" customFormat="1" ht="20.1" customHeight="1" spans="1:16">
      <c r="A1162" s="279" t="s">
        <v>3267</v>
      </c>
      <c r="B1162" s="41" t="s">
        <v>3268</v>
      </c>
      <c r="C1162" s="287">
        <v>96</v>
      </c>
      <c r="D1162" s="288">
        <f t="shared" si="248"/>
        <v>103</v>
      </c>
      <c r="E1162" s="287"/>
      <c r="F1162" s="287"/>
      <c r="G1162" s="287"/>
      <c r="H1162" s="287"/>
      <c r="I1162" s="302">
        <v>103</v>
      </c>
      <c r="J1162" s="303">
        <f t="shared" si="245"/>
        <v>107.29</v>
      </c>
      <c r="K1162" s="294" t="s">
        <v>3555</v>
      </c>
      <c r="L1162" s="44">
        <v>1</v>
      </c>
      <c r="M1162" s="308" t="s">
        <v>3259</v>
      </c>
      <c r="N1162" s="308"/>
      <c r="O1162" s="308" t="s">
        <v>822</v>
      </c>
      <c r="P1162" s="309" t="s">
        <v>4393</v>
      </c>
    </row>
    <row r="1163" s="106" customFormat="1" ht="20.1" customHeight="1" spans="1:16">
      <c r="A1163" s="279" t="s">
        <v>3269</v>
      </c>
      <c r="B1163" s="41" t="s">
        <v>3270</v>
      </c>
      <c r="C1163" s="287"/>
      <c r="D1163" s="288">
        <f t="shared" si="248"/>
        <v>0</v>
      </c>
      <c r="E1163" s="287"/>
      <c r="F1163" s="287"/>
      <c r="G1163" s="287"/>
      <c r="H1163" s="287"/>
      <c r="I1163" s="302"/>
      <c r="J1163" s="303">
        <f t="shared" si="245"/>
        <v>0</v>
      </c>
      <c r="K1163" s="294" t="s">
        <v>3555</v>
      </c>
      <c r="L1163" s="44">
        <v>1</v>
      </c>
      <c r="M1163" s="308" t="s">
        <v>3261</v>
      </c>
      <c r="N1163" s="308"/>
      <c r="O1163" s="308" t="s">
        <v>822</v>
      </c>
      <c r="P1163" s="314" t="s">
        <v>4394</v>
      </c>
    </row>
    <row r="1164" s="106" customFormat="1" ht="20.1" customHeight="1" spans="1:16">
      <c r="A1164" s="279" t="s">
        <v>3271</v>
      </c>
      <c r="B1164" s="41" t="s">
        <v>3272</v>
      </c>
      <c r="C1164" s="287">
        <v>24</v>
      </c>
      <c r="D1164" s="288">
        <f t="shared" si="248"/>
        <v>47</v>
      </c>
      <c r="E1164" s="287"/>
      <c r="F1164" s="287"/>
      <c r="G1164" s="287"/>
      <c r="H1164" s="287"/>
      <c r="I1164" s="302">
        <v>47</v>
      </c>
      <c r="J1164" s="303">
        <f t="shared" si="245"/>
        <v>195.83</v>
      </c>
      <c r="K1164" s="294" t="s">
        <v>3555</v>
      </c>
      <c r="L1164" s="44">
        <v>1</v>
      </c>
      <c r="M1164" s="308" t="s">
        <v>3263</v>
      </c>
      <c r="N1164" s="308"/>
      <c r="O1164" s="308" t="s">
        <v>822</v>
      </c>
      <c r="P1164" s="314" t="s">
        <v>4395</v>
      </c>
    </row>
    <row r="1165" s="106" customFormat="1" ht="20.1" customHeight="1" spans="1:16">
      <c r="A1165" s="279" t="s">
        <v>3273</v>
      </c>
      <c r="B1165" s="41" t="s">
        <v>3274</v>
      </c>
      <c r="C1165" s="287"/>
      <c r="D1165" s="288">
        <f t="shared" si="248"/>
        <v>0</v>
      </c>
      <c r="E1165" s="287"/>
      <c r="F1165" s="287"/>
      <c r="G1165" s="287"/>
      <c r="H1165" s="287"/>
      <c r="I1165" s="302"/>
      <c r="J1165" s="303">
        <f t="shared" si="245"/>
        <v>0</v>
      </c>
      <c r="K1165" s="294" t="s">
        <v>3555</v>
      </c>
      <c r="L1165" s="44">
        <v>1</v>
      </c>
      <c r="M1165" s="308" t="s">
        <v>3265</v>
      </c>
      <c r="N1165" s="308"/>
      <c r="O1165" s="308" t="s">
        <v>822</v>
      </c>
      <c r="P1165" s="314" t="s">
        <v>4396</v>
      </c>
    </row>
    <row r="1166" s="106" customFormat="1" ht="20.1" customHeight="1" spans="1:16">
      <c r="A1166" s="279" t="s">
        <v>3275</v>
      </c>
      <c r="B1166" s="41" t="s">
        <v>3276</v>
      </c>
      <c r="C1166" s="287"/>
      <c r="D1166" s="288">
        <f t="shared" si="248"/>
        <v>0</v>
      </c>
      <c r="E1166" s="287"/>
      <c r="F1166" s="287"/>
      <c r="G1166" s="287"/>
      <c r="H1166" s="287"/>
      <c r="I1166" s="302"/>
      <c r="J1166" s="303">
        <f t="shared" si="245"/>
        <v>0</v>
      </c>
      <c r="K1166" s="294" t="s">
        <v>3555</v>
      </c>
      <c r="L1166" s="44">
        <v>1</v>
      </c>
      <c r="M1166" s="308" t="s">
        <v>3267</v>
      </c>
      <c r="N1166" s="308"/>
      <c r="O1166" s="308" t="s">
        <v>822</v>
      </c>
      <c r="P1166" s="309" t="s">
        <v>4397</v>
      </c>
    </row>
    <row r="1167" s="106" customFormat="1" ht="20.1" customHeight="1" spans="1:16">
      <c r="A1167" s="279" t="s">
        <v>3277</v>
      </c>
      <c r="B1167" s="41" t="s">
        <v>3278</v>
      </c>
      <c r="C1167" s="287"/>
      <c r="D1167" s="288">
        <f t="shared" si="248"/>
        <v>0</v>
      </c>
      <c r="E1167" s="287"/>
      <c r="F1167" s="287"/>
      <c r="G1167" s="287"/>
      <c r="H1167" s="287"/>
      <c r="I1167" s="302"/>
      <c r="J1167" s="303">
        <f t="shared" si="245"/>
        <v>0</v>
      </c>
      <c r="K1167" s="294" t="s">
        <v>3555</v>
      </c>
      <c r="L1167" s="44">
        <v>1</v>
      </c>
      <c r="M1167" s="308" t="s">
        <v>3269</v>
      </c>
      <c r="N1167" s="308"/>
      <c r="O1167" s="308" t="s">
        <v>822</v>
      </c>
      <c r="P1167" s="309" t="s">
        <v>4398</v>
      </c>
    </row>
    <row r="1168" s="106" customFormat="1" ht="20.1" customHeight="1" spans="1:16">
      <c r="A1168" s="279" t="s">
        <v>3279</v>
      </c>
      <c r="B1168" s="356" t="s">
        <v>3280</v>
      </c>
      <c r="C1168" s="287"/>
      <c r="D1168" s="288">
        <f t="shared" si="248"/>
        <v>0</v>
      </c>
      <c r="E1168" s="287"/>
      <c r="F1168" s="287"/>
      <c r="G1168" s="287"/>
      <c r="H1168" s="287"/>
      <c r="I1168" s="302"/>
      <c r="J1168" s="303"/>
      <c r="K1168" s="294" t="s">
        <v>3555</v>
      </c>
      <c r="L1168" s="44">
        <v>1</v>
      </c>
      <c r="M1168" s="308" t="s">
        <v>3271</v>
      </c>
      <c r="N1168" s="308"/>
      <c r="O1168" s="308" t="s">
        <v>822</v>
      </c>
      <c r="P1168" s="309" t="s">
        <v>4399</v>
      </c>
    </row>
    <row r="1169" s="106" customFormat="1" ht="20.1" customHeight="1" spans="1:16">
      <c r="A1169" s="279" t="s">
        <v>3281</v>
      </c>
      <c r="B1169" s="356" t="s">
        <v>3282</v>
      </c>
      <c r="C1169" s="287"/>
      <c r="D1169" s="288">
        <f t="shared" si="248"/>
        <v>0</v>
      </c>
      <c r="E1169" s="287"/>
      <c r="F1169" s="287"/>
      <c r="G1169" s="287"/>
      <c r="H1169" s="287"/>
      <c r="I1169" s="302"/>
      <c r="J1169" s="303"/>
      <c r="K1169" s="294" t="s">
        <v>3555</v>
      </c>
      <c r="L1169" s="44">
        <v>1</v>
      </c>
      <c r="M1169" s="308" t="s">
        <v>3273</v>
      </c>
      <c r="N1169" s="308"/>
      <c r="O1169" s="308" t="s">
        <v>822</v>
      </c>
      <c r="P1169" s="309" t="s">
        <v>4400</v>
      </c>
    </row>
    <row r="1170" s="106" customFormat="1" ht="20.1" customHeight="1" spans="1:16">
      <c r="A1170" s="279" t="s">
        <v>3283</v>
      </c>
      <c r="B1170" s="356" t="s">
        <v>3284</v>
      </c>
      <c r="C1170" s="287"/>
      <c r="D1170" s="288">
        <f t="shared" si="248"/>
        <v>0</v>
      </c>
      <c r="E1170" s="287"/>
      <c r="F1170" s="287"/>
      <c r="G1170" s="287"/>
      <c r="H1170" s="287"/>
      <c r="I1170" s="302"/>
      <c r="J1170" s="303"/>
      <c r="K1170" s="294" t="s">
        <v>3555</v>
      </c>
      <c r="L1170" s="44">
        <v>1</v>
      </c>
      <c r="M1170" s="308" t="s">
        <v>3275</v>
      </c>
      <c r="N1170" s="308"/>
      <c r="O1170" s="308" t="s">
        <v>822</v>
      </c>
      <c r="P1170" s="309" t="s">
        <v>4401</v>
      </c>
    </row>
    <row r="1171" s="106" customFormat="1" ht="20.1" customHeight="1" spans="1:16">
      <c r="A1171" s="279" t="s">
        <v>3285</v>
      </c>
      <c r="B1171" s="356" t="s">
        <v>3286</v>
      </c>
      <c r="C1171" s="287"/>
      <c r="D1171" s="288">
        <f t="shared" si="248"/>
        <v>0</v>
      </c>
      <c r="E1171" s="287"/>
      <c r="F1171" s="287"/>
      <c r="G1171" s="287"/>
      <c r="H1171" s="287"/>
      <c r="I1171" s="302"/>
      <c r="J1171" s="303"/>
      <c r="K1171" s="294" t="s">
        <v>3555</v>
      </c>
      <c r="L1171" s="44">
        <v>1</v>
      </c>
      <c r="M1171" s="308" t="s">
        <v>3277</v>
      </c>
      <c r="N1171" s="308"/>
      <c r="O1171" s="308" t="s">
        <v>822</v>
      </c>
      <c r="P1171" s="309" t="s">
        <v>4402</v>
      </c>
    </row>
    <row r="1172" s="106" customFormat="1" ht="20.1" customHeight="1" spans="1:16">
      <c r="A1172" s="279" t="s">
        <v>3287</v>
      </c>
      <c r="B1172" s="356" t="s">
        <v>3288</v>
      </c>
      <c r="C1172" s="287"/>
      <c r="D1172" s="288">
        <f t="shared" si="248"/>
        <v>0</v>
      </c>
      <c r="E1172" s="287"/>
      <c r="F1172" s="287"/>
      <c r="G1172" s="287"/>
      <c r="H1172" s="287"/>
      <c r="I1172" s="302"/>
      <c r="J1172" s="303"/>
      <c r="K1172" s="294" t="s">
        <v>3555</v>
      </c>
      <c r="L1172" s="44">
        <v>1</v>
      </c>
      <c r="M1172" s="308" t="s">
        <v>3279</v>
      </c>
      <c r="N1172" s="308"/>
      <c r="O1172" s="308" t="s">
        <v>822</v>
      </c>
      <c r="P1172" s="309" t="s">
        <v>4403</v>
      </c>
    </row>
    <row r="1173" s="106" customFormat="1" ht="20.1" customHeight="1" spans="1:16">
      <c r="A1173" s="279" t="s">
        <v>3289</v>
      </c>
      <c r="B1173" s="356" t="s">
        <v>3290</v>
      </c>
      <c r="C1173" s="287"/>
      <c r="D1173" s="288">
        <f t="shared" si="248"/>
        <v>0</v>
      </c>
      <c r="E1173" s="287"/>
      <c r="F1173" s="287"/>
      <c r="G1173" s="287"/>
      <c r="H1173" s="287"/>
      <c r="I1173" s="302"/>
      <c r="J1173" s="303"/>
      <c r="K1173" s="294" t="s">
        <v>3555</v>
      </c>
      <c r="L1173" s="44">
        <v>1</v>
      </c>
      <c r="M1173" s="308" t="s">
        <v>3281</v>
      </c>
      <c r="N1173" s="308"/>
      <c r="O1173" s="308" t="s">
        <v>822</v>
      </c>
      <c r="P1173" s="309" t="s">
        <v>4404</v>
      </c>
    </row>
    <row r="1174" s="106" customFormat="1" ht="20.1" customHeight="1" spans="1:16">
      <c r="A1174" s="279" t="s">
        <v>3291</v>
      </c>
      <c r="B1174" s="356" t="s">
        <v>3292</v>
      </c>
      <c r="C1174" s="287"/>
      <c r="D1174" s="288">
        <f t="shared" si="248"/>
        <v>0</v>
      </c>
      <c r="E1174" s="287"/>
      <c r="F1174" s="287"/>
      <c r="G1174" s="287"/>
      <c r="H1174" s="287"/>
      <c r="I1174" s="302"/>
      <c r="J1174" s="303"/>
      <c r="K1174" s="294" t="s">
        <v>3555</v>
      </c>
      <c r="L1174" s="44">
        <v>1</v>
      </c>
      <c r="M1174" s="308" t="s">
        <v>3283</v>
      </c>
      <c r="N1174" s="308"/>
      <c r="O1174" s="308" t="s">
        <v>822</v>
      </c>
      <c r="P1174" s="309" t="s">
        <v>4405</v>
      </c>
    </row>
    <row r="1175" s="106" customFormat="1" ht="20.1" customHeight="1" spans="1:16">
      <c r="A1175" s="279" t="s">
        <v>3293</v>
      </c>
      <c r="B1175" s="356" t="s">
        <v>3294</v>
      </c>
      <c r="C1175" s="287"/>
      <c r="D1175" s="288">
        <f t="shared" si="248"/>
        <v>0</v>
      </c>
      <c r="E1175" s="287"/>
      <c r="F1175" s="287"/>
      <c r="G1175" s="287"/>
      <c r="H1175" s="287"/>
      <c r="I1175" s="302"/>
      <c r="J1175" s="303"/>
      <c r="K1175" s="294" t="s">
        <v>3555</v>
      </c>
      <c r="L1175" s="44">
        <v>1</v>
      </c>
      <c r="M1175" s="308" t="s">
        <v>3285</v>
      </c>
      <c r="N1175" s="308"/>
      <c r="O1175" s="308" t="s">
        <v>822</v>
      </c>
      <c r="P1175" s="309" t="s">
        <v>4406</v>
      </c>
    </row>
    <row r="1176" s="106" customFormat="1" ht="20.1" customHeight="1" spans="1:16">
      <c r="A1176" s="279" t="s">
        <v>3295</v>
      </c>
      <c r="B1176" s="356" t="s">
        <v>3296</v>
      </c>
      <c r="C1176" s="287"/>
      <c r="D1176" s="288">
        <f t="shared" si="248"/>
        <v>0</v>
      </c>
      <c r="E1176" s="287"/>
      <c r="F1176" s="287"/>
      <c r="G1176" s="287"/>
      <c r="H1176" s="287"/>
      <c r="I1176" s="302"/>
      <c r="J1176" s="303"/>
      <c r="K1176" s="294" t="s">
        <v>3555</v>
      </c>
      <c r="L1176" s="44">
        <v>1</v>
      </c>
      <c r="M1176" s="308" t="s">
        <v>3287</v>
      </c>
      <c r="N1176" s="308"/>
      <c r="O1176" s="308" t="s">
        <v>822</v>
      </c>
      <c r="P1176" s="309" t="s">
        <v>4407</v>
      </c>
    </row>
    <row r="1177" s="106" customFormat="1" ht="20.1" customHeight="1" spans="1:16">
      <c r="A1177" s="279" t="s">
        <v>3297</v>
      </c>
      <c r="B1177" s="356" t="s">
        <v>3298</v>
      </c>
      <c r="C1177" s="287"/>
      <c r="D1177" s="288">
        <f t="shared" si="248"/>
        <v>0</v>
      </c>
      <c r="E1177" s="287"/>
      <c r="F1177" s="287"/>
      <c r="G1177" s="287"/>
      <c r="H1177" s="287"/>
      <c r="I1177" s="302"/>
      <c r="J1177" s="303"/>
      <c r="K1177" s="294" t="s">
        <v>3555</v>
      </c>
      <c r="L1177" s="44">
        <v>1</v>
      </c>
      <c r="M1177" s="308" t="s">
        <v>3289</v>
      </c>
      <c r="N1177" s="308"/>
      <c r="O1177" s="308" t="s">
        <v>822</v>
      </c>
      <c r="P1177" s="309" t="s">
        <v>4408</v>
      </c>
    </row>
    <row r="1178" s="106" customFormat="1" ht="20.1" customHeight="1" spans="1:16">
      <c r="A1178" s="279" t="s">
        <v>3299</v>
      </c>
      <c r="B1178" s="41" t="s">
        <v>1476</v>
      </c>
      <c r="C1178" s="287">
        <v>8</v>
      </c>
      <c r="D1178" s="288">
        <f t="shared" si="248"/>
        <v>10</v>
      </c>
      <c r="E1178" s="287"/>
      <c r="F1178" s="287"/>
      <c r="G1178" s="287"/>
      <c r="H1178" s="287"/>
      <c r="I1178" s="302">
        <v>10</v>
      </c>
      <c r="J1178" s="303">
        <f t="shared" ref="J1178:J1195" si="249">ROUND(IF(C1178=0,IF(D1178=0,0,1),IF(D1178=0,-1,D1178/C1178)),4)*100</f>
        <v>125</v>
      </c>
      <c r="K1178" s="294" t="s">
        <v>3555</v>
      </c>
      <c r="L1178" s="44">
        <v>1</v>
      </c>
      <c r="M1178" s="308" t="s">
        <v>3291</v>
      </c>
      <c r="N1178" s="308"/>
      <c r="O1178" s="308" t="s">
        <v>822</v>
      </c>
      <c r="P1178" s="309" t="s">
        <v>4409</v>
      </c>
    </row>
    <row r="1179" s="106" customFormat="1" ht="20.1" customHeight="1" spans="1:16">
      <c r="A1179" s="279" t="s">
        <v>3300</v>
      </c>
      <c r="B1179" s="41" t="s">
        <v>3301</v>
      </c>
      <c r="C1179" s="287">
        <v>163</v>
      </c>
      <c r="D1179" s="288">
        <f t="shared" si="248"/>
        <v>144</v>
      </c>
      <c r="E1179" s="287"/>
      <c r="F1179" s="287"/>
      <c r="G1179" s="287"/>
      <c r="H1179" s="287"/>
      <c r="I1179" s="302">
        <v>144</v>
      </c>
      <c r="J1179" s="303">
        <f t="shared" si="249"/>
        <v>88.34</v>
      </c>
      <c r="K1179" s="294" t="s">
        <v>3555</v>
      </c>
      <c r="L1179" s="44">
        <v>1</v>
      </c>
      <c r="M1179" s="308" t="s">
        <v>3293</v>
      </c>
      <c r="N1179" s="308"/>
      <c r="O1179" s="308" t="s">
        <v>822</v>
      </c>
      <c r="P1179" s="309" t="s">
        <v>4410</v>
      </c>
    </row>
    <row r="1180" s="106" customFormat="1" ht="20.1" customHeight="1" spans="1:16">
      <c r="A1180" s="283" t="s">
        <v>3302</v>
      </c>
      <c r="B1180" s="323" t="s">
        <v>3303</v>
      </c>
      <c r="C1180" s="285">
        <f t="shared" ref="C1180:I1180" si="250">SUM(C1181:C1194)</f>
        <v>65</v>
      </c>
      <c r="D1180" s="285">
        <f t="shared" si="248"/>
        <v>85</v>
      </c>
      <c r="E1180" s="285">
        <f t="shared" si="250"/>
        <v>0</v>
      </c>
      <c r="F1180" s="285">
        <f t="shared" si="250"/>
        <v>0</v>
      </c>
      <c r="G1180" s="285">
        <f t="shared" si="250"/>
        <v>0</v>
      </c>
      <c r="H1180" s="285">
        <f t="shared" si="250"/>
        <v>0</v>
      </c>
      <c r="I1180" s="285">
        <f t="shared" si="250"/>
        <v>85</v>
      </c>
      <c r="J1180" s="324">
        <f t="shared" si="249"/>
        <v>130.77</v>
      </c>
      <c r="K1180" s="294" t="s">
        <v>3555</v>
      </c>
      <c r="L1180" s="44">
        <v>1</v>
      </c>
      <c r="M1180" s="308" t="s">
        <v>3295</v>
      </c>
      <c r="N1180" s="308"/>
      <c r="O1180" s="308" t="s">
        <v>822</v>
      </c>
      <c r="P1180" s="309" t="s">
        <v>4411</v>
      </c>
    </row>
    <row r="1181" s="106" customFormat="1" ht="20.1" customHeight="1" spans="1:16">
      <c r="A1181" s="279" t="s">
        <v>3304</v>
      </c>
      <c r="B1181" s="41" t="s">
        <v>1458</v>
      </c>
      <c r="C1181" s="287">
        <v>11</v>
      </c>
      <c r="D1181" s="288">
        <f t="shared" si="248"/>
        <v>9</v>
      </c>
      <c r="E1181" s="287"/>
      <c r="F1181" s="287"/>
      <c r="G1181" s="287"/>
      <c r="H1181" s="287"/>
      <c r="I1181" s="302">
        <v>9</v>
      </c>
      <c r="J1181" s="303">
        <f t="shared" si="249"/>
        <v>81.82</v>
      </c>
      <c r="K1181" s="294" t="s">
        <v>3555</v>
      </c>
      <c r="L1181" s="44">
        <v>1</v>
      </c>
      <c r="M1181" s="308" t="s">
        <v>3297</v>
      </c>
      <c r="N1181" s="308"/>
      <c r="O1181" s="308" t="s">
        <v>822</v>
      </c>
      <c r="P1181" s="309" t="s">
        <v>4412</v>
      </c>
    </row>
    <row r="1182" s="106" customFormat="1" ht="20.1" customHeight="1" spans="1:16">
      <c r="A1182" s="279" t="s">
        <v>3305</v>
      </c>
      <c r="B1182" s="41" t="s">
        <v>1460</v>
      </c>
      <c r="C1182" s="287"/>
      <c r="D1182" s="288">
        <f t="shared" si="248"/>
        <v>0</v>
      </c>
      <c r="E1182" s="287"/>
      <c r="F1182" s="287"/>
      <c r="G1182" s="287"/>
      <c r="H1182" s="287"/>
      <c r="I1182" s="302"/>
      <c r="J1182" s="303">
        <f t="shared" si="249"/>
        <v>0</v>
      </c>
      <c r="K1182" s="294" t="s">
        <v>3555</v>
      </c>
      <c r="L1182" s="44">
        <v>1</v>
      </c>
      <c r="M1182" s="308" t="s">
        <v>3299</v>
      </c>
      <c r="N1182" s="308"/>
      <c r="O1182" s="308" t="s">
        <v>822</v>
      </c>
      <c r="P1182" s="314" t="s">
        <v>3565</v>
      </c>
    </row>
    <row r="1183" s="106" customFormat="1" ht="20.1" customHeight="1" spans="1:16">
      <c r="A1183" s="279" t="s">
        <v>3306</v>
      </c>
      <c r="B1183" s="41" t="s">
        <v>1462</v>
      </c>
      <c r="C1183" s="287"/>
      <c r="D1183" s="288">
        <f t="shared" si="248"/>
        <v>0</v>
      </c>
      <c r="E1183" s="287"/>
      <c r="F1183" s="287"/>
      <c r="G1183" s="287"/>
      <c r="H1183" s="287"/>
      <c r="I1183" s="302"/>
      <c r="J1183" s="303">
        <f t="shared" si="249"/>
        <v>0</v>
      </c>
      <c r="K1183" s="294" t="s">
        <v>3555</v>
      </c>
      <c r="L1183" s="44">
        <v>1</v>
      </c>
      <c r="M1183" s="308" t="s">
        <v>3300</v>
      </c>
      <c r="N1183" s="308"/>
      <c r="O1183" s="308" t="s">
        <v>822</v>
      </c>
      <c r="P1183" s="314" t="s">
        <v>4413</v>
      </c>
    </row>
    <row r="1184" s="107" customFormat="1" ht="20.1" customHeight="1" spans="1:16">
      <c r="A1184" s="279" t="s">
        <v>3307</v>
      </c>
      <c r="B1184" s="41" t="s">
        <v>3308</v>
      </c>
      <c r="C1184" s="287">
        <v>49</v>
      </c>
      <c r="D1184" s="288">
        <f t="shared" si="248"/>
        <v>42</v>
      </c>
      <c r="E1184" s="287"/>
      <c r="F1184" s="287"/>
      <c r="G1184" s="287"/>
      <c r="H1184" s="287"/>
      <c r="I1184" s="302">
        <v>42</v>
      </c>
      <c r="J1184" s="303">
        <f t="shared" si="249"/>
        <v>85.71</v>
      </c>
      <c r="K1184" s="300" t="s">
        <v>3551</v>
      </c>
      <c r="L1184" s="301"/>
      <c r="M1184" s="312" t="s">
        <v>3302</v>
      </c>
      <c r="N1184" s="312" t="s">
        <v>820</v>
      </c>
      <c r="O1184" s="312" t="s">
        <v>3302</v>
      </c>
      <c r="P1184" s="313" t="s">
        <v>4414</v>
      </c>
    </row>
    <row r="1185" s="106" customFormat="1" ht="20.1" customHeight="1" spans="1:16">
      <c r="A1185" s="279" t="s">
        <v>3309</v>
      </c>
      <c r="B1185" s="41" t="s">
        <v>3310</v>
      </c>
      <c r="C1185" s="287"/>
      <c r="D1185" s="288">
        <f t="shared" si="248"/>
        <v>0</v>
      </c>
      <c r="E1185" s="287"/>
      <c r="F1185" s="287"/>
      <c r="G1185" s="287"/>
      <c r="H1185" s="287"/>
      <c r="I1185" s="302"/>
      <c r="J1185" s="303">
        <f t="shared" si="249"/>
        <v>0</v>
      </c>
      <c r="K1185" s="294" t="s">
        <v>3555</v>
      </c>
      <c r="L1185" s="44">
        <v>1</v>
      </c>
      <c r="M1185" s="308" t="s">
        <v>3304</v>
      </c>
      <c r="N1185" s="308"/>
      <c r="O1185" s="308" t="s">
        <v>3302</v>
      </c>
      <c r="P1185" s="314" t="s">
        <v>3556</v>
      </c>
    </row>
    <row r="1186" s="106" customFormat="1" ht="20.1" customHeight="1" spans="1:16">
      <c r="A1186" s="279" t="s">
        <v>3311</v>
      </c>
      <c r="B1186" s="41" t="s">
        <v>3312</v>
      </c>
      <c r="C1186" s="287"/>
      <c r="D1186" s="288">
        <f t="shared" si="248"/>
        <v>0</v>
      </c>
      <c r="E1186" s="287"/>
      <c r="F1186" s="287"/>
      <c r="G1186" s="287"/>
      <c r="H1186" s="287"/>
      <c r="I1186" s="302"/>
      <c r="J1186" s="303">
        <f t="shared" si="249"/>
        <v>0</v>
      </c>
      <c r="K1186" s="294" t="s">
        <v>3555</v>
      </c>
      <c r="L1186" s="44">
        <v>1</v>
      </c>
      <c r="M1186" s="308" t="s">
        <v>3305</v>
      </c>
      <c r="N1186" s="308"/>
      <c r="O1186" s="308" t="s">
        <v>3302</v>
      </c>
      <c r="P1186" s="314" t="s">
        <v>3557</v>
      </c>
    </row>
    <row r="1187" s="106" customFormat="1" ht="20.1" customHeight="1" spans="1:16">
      <c r="A1187" s="279" t="s">
        <v>3313</v>
      </c>
      <c r="B1187" s="41" t="s">
        <v>3314</v>
      </c>
      <c r="C1187" s="287"/>
      <c r="D1187" s="288">
        <f t="shared" si="248"/>
        <v>0</v>
      </c>
      <c r="E1187" s="287"/>
      <c r="F1187" s="287"/>
      <c r="G1187" s="287"/>
      <c r="H1187" s="287"/>
      <c r="I1187" s="302"/>
      <c r="J1187" s="303">
        <f t="shared" si="249"/>
        <v>0</v>
      </c>
      <c r="K1187" s="294" t="s">
        <v>3555</v>
      </c>
      <c r="L1187" s="44">
        <v>1</v>
      </c>
      <c r="M1187" s="308" t="s">
        <v>3306</v>
      </c>
      <c r="N1187" s="308"/>
      <c r="O1187" s="308" t="s">
        <v>3302</v>
      </c>
      <c r="P1187" s="314" t="s">
        <v>3558</v>
      </c>
    </row>
    <row r="1188" s="106" customFormat="1" ht="20.1" customHeight="1" spans="1:16">
      <c r="A1188" s="279" t="s">
        <v>3315</v>
      </c>
      <c r="B1188" s="41" t="s">
        <v>3316</v>
      </c>
      <c r="C1188" s="287"/>
      <c r="D1188" s="288">
        <f t="shared" si="248"/>
        <v>21</v>
      </c>
      <c r="E1188" s="287"/>
      <c r="F1188" s="287"/>
      <c r="G1188" s="287"/>
      <c r="H1188" s="287"/>
      <c r="I1188" s="302">
        <v>21</v>
      </c>
      <c r="J1188" s="303">
        <f t="shared" si="249"/>
        <v>100</v>
      </c>
      <c r="K1188" s="294" t="s">
        <v>3555</v>
      </c>
      <c r="L1188" s="44">
        <v>1</v>
      </c>
      <c r="M1188" s="308" t="s">
        <v>3307</v>
      </c>
      <c r="N1188" s="308"/>
      <c r="O1188" s="308" t="s">
        <v>3302</v>
      </c>
      <c r="P1188" s="309" t="s">
        <v>4415</v>
      </c>
    </row>
    <row r="1189" s="106" customFormat="1" ht="20.1" customHeight="1" spans="1:16">
      <c r="A1189" s="279" t="s">
        <v>3317</v>
      </c>
      <c r="B1189" s="41" t="s">
        <v>3318</v>
      </c>
      <c r="C1189" s="287">
        <v>5</v>
      </c>
      <c r="D1189" s="288">
        <f t="shared" si="248"/>
        <v>13</v>
      </c>
      <c r="E1189" s="287"/>
      <c r="F1189" s="287"/>
      <c r="G1189" s="287"/>
      <c r="H1189" s="287"/>
      <c r="I1189" s="302">
        <v>13</v>
      </c>
      <c r="J1189" s="303">
        <f t="shared" si="249"/>
        <v>260</v>
      </c>
      <c r="K1189" s="294" t="s">
        <v>3555</v>
      </c>
      <c r="L1189" s="44">
        <v>1</v>
      </c>
      <c r="M1189" s="308" t="s">
        <v>3309</v>
      </c>
      <c r="N1189" s="308"/>
      <c r="O1189" s="308" t="s">
        <v>3302</v>
      </c>
      <c r="P1189" s="309" t="s">
        <v>4416</v>
      </c>
    </row>
    <row r="1190" s="106" customFormat="1" ht="20.1" customHeight="1" spans="1:16">
      <c r="A1190" s="279" t="s">
        <v>3319</v>
      </c>
      <c r="B1190" s="41" t="s">
        <v>3320</v>
      </c>
      <c r="C1190" s="287"/>
      <c r="D1190" s="288">
        <f t="shared" si="248"/>
        <v>0</v>
      </c>
      <c r="E1190" s="287"/>
      <c r="F1190" s="287"/>
      <c r="G1190" s="287"/>
      <c r="H1190" s="287"/>
      <c r="I1190" s="302"/>
      <c r="J1190" s="303">
        <f t="shared" si="249"/>
        <v>0</v>
      </c>
      <c r="K1190" s="294" t="s">
        <v>3555</v>
      </c>
      <c r="L1190" s="44">
        <v>1</v>
      </c>
      <c r="M1190" s="308" t="s">
        <v>3311</v>
      </c>
      <c r="N1190" s="308"/>
      <c r="O1190" s="308" t="s">
        <v>3302</v>
      </c>
      <c r="P1190" s="309" t="s">
        <v>4417</v>
      </c>
    </row>
    <row r="1191" s="106" customFormat="1" ht="20.1" customHeight="1" spans="1:16">
      <c r="A1191" s="279" t="s">
        <v>3321</v>
      </c>
      <c r="B1191" s="41" t="s">
        <v>3322</v>
      </c>
      <c r="C1191" s="287"/>
      <c r="D1191" s="288">
        <f t="shared" si="248"/>
        <v>0</v>
      </c>
      <c r="E1191" s="287"/>
      <c r="F1191" s="287"/>
      <c r="G1191" s="287"/>
      <c r="H1191" s="287"/>
      <c r="I1191" s="302"/>
      <c r="J1191" s="303">
        <f t="shared" si="249"/>
        <v>0</v>
      </c>
      <c r="K1191" s="294" t="s">
        <v>3555</v>
      </c>
      <c r="L1191" s="44">
        <v>1</v>
      </c>
      <c r="M1191" s="308" t="s">
        <v>3313</v>
      </c>
      <c r="N1191" s="308"/>
      <c r="O1191" s="308" t="s">
        <v>3302</v>
      </c>
      <c r="P1191" s="309" t="s">
        <v>4418</v>
      </c>
    </row>
    <row r="1192" s="106" customFormat="1" ht="20.1" customHeight="1" spans="1:16">
      <c r="A1192" s="279" t="s">
        <v>3323</v>
      </c>
      <c r="B1192" s="41" t="s">
        <v>3324</v>
      </c>
      <c r="C1192" s="287"/>
      <c r="D1192" s="288">
        <f t="shared" si="248"/>
        <v>0</v>
      </c>
      <c r="E1192" s="287"/>
      <c r="F1192" s="287"/>
      <c r="G1192" s="287"/>
      <c r="H1192" s="287"/>
      <c r="I1192" s="302"/>
      <c r="J1192" s="303">
        <f t="shared" si="249"/>
        <v>0</v>
      </c>
      <c r="K1192" s="294" t="s">
        <v>3555</v>
      </c>
      <c r="L1192" s="44">
        <v>1</v>
      </c>
      <c r="M1192" s="308" t="s">
        <v>3315</v>
      </c>
      <c r="N1192" s="308"/>
      <c r="O1192" s="308" t="s">
        <v>3302</v>
      </c>
      <c r="P1192" s="309" t="s">
        <v>4419</v>
      </c>
    </row>
    <row r="1193" s="106" customFormat="1" ht="20.1" customHeight="1" spans="1:16">
      <c r="A1193" s="279" t="s">
        <v>3325</v>
      </c>
      <c r="B1193" s="41" t="s">
        <v>3326</v>
      </c>
      <c r="C1193" s="287"/>
      <c r="D1193" s="288">
        <f t="shared" si="248"/>
        <v>0</v>
      </c>
      <c r="E1193" s="287"/>
      <c r="F1193" s="287"/>
      <c r="G1193" s="287"/>
      <c r="H1193" s="287"/>
      <c r="I1193" s="302"/>
      <c r="J1193" s="303">
        <f t="shared" si="249"/>
        <v>0</v>
      </c>
      <c r="K1193" s="294" t="s">
        <v>3555</v>
      </c>
      <c r="L1193" s="44">
        <v>1</v>
      </c>
      <c r="M1193" s="308" t="s">
        <v>3317</v>
      </c>
      <c r="N1193" s="308"/>
      <c r="O1193" s="308" t="s">
        <v>3302</v>
      </c>
      <c r="P1193" s="309" t="s">
        <v>4420</v>
      </c>
    </row>
    <row r="1194" s="106" customFormat="1" ht="20.1" customHeight="1" spans="1:16">
      <c r="A1194" s="279" t="s">
        <v>3327</v>
      </c>
      <c r="B1194" s="41" t="s">
        <v>3328</v>
      </c>
      <c r="C1194" s="287"/>
      <c r="D1194" s="288">
        <f t="shared" si="248"/>
        <v>0</v>
      </c>
      <c r="E1194" s="287"/>
      <c r="F1194" s="287"/>
      <c r="G1194" s="287"/>
      <c r="H1194" s="287"/>
      <c r="I1194" s="302"/>
      <c r="J1194" s="303">
        <f t="shared" si="249"/>
        <v>0</v>
      </c>
      <c r="K1194" s="294" t="s">
        <v>3555</v>
      </c>
      <c r="L1194" s="44">
        <v>1</v>
      </c>
      <c r="M1194" s="308" t="s">
        <v>3319</v>
      </c>
      <c r="N1194" s="308"/>
      <c r="O1194" s="308" t="s">
        <v>3302</v>
      </c>
      <c r="P1194" s="309" t="s">
        <v>4421</v>
      </c>
    </row>
    <row r="1195" s="106" customFormat="1" ht="20.1" customHeight="1" spans="1:16">
      <c r="A1195" s="283" t="s">
        <v>826</v>
      </c>
      <c r="B1195" s="323" t="s">
        <v>3329</v>
      </c>
      <c r="C1195" s="285">
        <v>0</v>
      </c>
      <c r="D1195" s="285">
        <f t="shared" si="248"/>
        <v>0</v>
      </c>
      <c r="E1195" s="285"/>
      <c r="F1195" s="285"/>
      <c r="G1195" s="285">
        <f>VLOOKUP(A1195,[1]√表四、2025年公共财政支出变动表!$A$8:$S$221,18,FALSE)</f>
        <v>0</v>
      </c>
      <c r="H1195" s="285"/>
      <c r="I1195" s="285"/>
      <c r="J1195" s="324">
        <f t="shared" si="249"/>
        <v>0</v>
      </c>
      <c r="K1195" s="294" t="s">
        <v>3555</v>
      </c>
      <c r="L1195" s="44">
        <v>1</v>
      </c>
      <c r="M1195" s="308" t="s">
        <v>3321</v>
      </c>
      <c r="N1195" s="308"/>
      <c r="O1195" s="308" t="s">
        <v>3302</v>
      </c>
      <c r="P1195" s="309" t="s">
        <v>4422</v>
      </c>
    </row>
    <row r="1196" s="106" customFormat="1" ht="20.1" customHeight="1" spans="1:16">
      <c r="A1196" s="279" t="s">
        <v>3330</v>
      </c>
      <c r="B1196" s="289" t="s">
        <v>827</v>
      </c>
      <c r="C1196" s="287"/>
      <c r="D1196" s="287"/>
      <c r="E1196" s="287"/>
      <c r="F1196" s="287"/>
      <c r="G1196" s="287"/>
      <c r="H1196" s="287"/>
      <c r="I1196" s="287"/>
      <c r="J1196" s="236"/>
      <c r="K1196" s="294" t="s">
        <v>3555</v>
      </c>
      <c r="L1196" s="44">
        <v>1</v>
      </c>
      <c r="M1196" s="308" t="s">
        <v>3323</v>
      </c>
      <c r="N1196" s="308"/>
      <c r="O1196" s="308" t="s">
        <v>3302</v>
      </c>
      <c r="P1196" s="309" t="s">
        <v>4423</v>
      </c>
    </row>
    <row r="1197" s="106" customFormat="1" ht="20.1" customHeight="1" spans="1:16">
      <c r="A1197" s="280" t="s">
        <v>828</v>
      </c>
      <c r="B1197" s="281" t="s">
        <v>829</v>
      </c>
      <c r="C1197" s="282">
        <f t="shared" ref="C1197:I1197" si="251">C1198+C1208+C1212</f>
        <v>8436</v>
      </c>
      <c r="D1197" s="282">
        <f t="shared" ref="D1197:D1258" si="252">SUM(E1197:I1197)</f>
        <v>10954</v>
      </c>
      <c r="E1197" s="282">
        <f t="shared" si="251"/>
        <v>483</v>
      </c>
      <c r="F1197" s="282">
        <f t="shared" si="251"/>
        <v>0</v>
      </c>
      <c r="G1197" s="282">
        <f t="shared" si="251"/>
        <v>359</v>
      </c>
      <c r="H1197" s="282">
        <f t="shared" si="251"/>
        <v>0</v>
      </c>
      <c r="I1197" s="282">
        <f t="shared" si="251"/>
        <v>10112</v>
      </c>
      <c r="J1197" s="296">
        <f t="shared" ref="J1197:J1203" si="253">ROUND(IF(C1197=0,IF(D1197=0,0,1),IF(D1197=0,-1,D1197/C1197)),4)*100</f>
        <v>129.85</v>
      </c>
      <c r="K1197" s="294" t="s">
        <v>3555</v>
      </c>
      <c r="L1197" s="44">
        <v>1</v>
      </c>
      <c r="M1197" s="308" t="s">
        <v>3325</v>
      </c>
      <c r="N1197" s="308"/>
      <c r="O1197" s="308" t="s">
        <v>3302</v>
      </c>
      <c r="P1197" s="309" t="s">
        <v>4424</v>
      </c>
    </row>
    <row r="1198" s="106" customFormat="1" ht="20.1" customHeight="1" spans="1:16">
      <c r="A1198" s="283" t="s">
        <v>830</v>
      </c>
      <c r="B1198" s="323" t="s">
        <v>3331</v>
      </c>
      <c r="C1198" s="285">
        <f t="shared" ref="C1198:I1198" si="254">SUM(C1199:C1207)</f>
        <v>790</v>
      </c>
      <c r="D1198" s="285">
        <f t="shared" si="252"/>
        <v>842</v>
      </c>
      <c r="E1198" s="285">
        <f t="shared" si="254"/>
        <v>483</v>
      </c>
      <c r="F1198" s="285">
        <f t="shared" si="254"/>
        <v>0</v>
      </c>
      <c r="G1198" s="285">
        <f t="shared" si="254"/>
        <v>359</v>
      </c>
      <c r="H1198" s="285">
        <f t="shared" si="254"/>
        <v>0</v>
      </c>
      <c r="I1198" s="285">
        <f t="shared" si="254"/>
        <v>0</v>
      </c>
      <c r="J1198" s="324">
        <f t="shared" si="253"/>
        <v>106.58</v>
      </c>
      <c r="K1198" s="294" t="s">
        <v>3555</v>
      </c>
      <c r="L1198" s="44">
        <v>1</v>
      </c>
      <c r="M1198" s="308" t="s">
        <v>3327</v>
      </c>
      <c r="N1198" s="308"/>
      <c r="O1198" s="308" t="s">
        <v>3302</v>
      </c>
      <c r="P1198" s="309" t="s">
        <v>4425</v>
      </c>
    </row>
    <row r="1199" s="107" customFormat="1" ht="20.1" customHeight="1" spans="1:16">
      <c r="A1199" s="279" t="s">
        <v>3332</v>
      </c>
      <c r="B1199" s="41" t="s">
        <v>3333</v>
      </c>
      <c r="C1199" s="287"/>
      <c r="D1199" s="288">
        <f t="shared" si="252"/>
        <v>0</v>
      </c>
      <c r="E1199" s="287"/>
      <c r="F1199" s="287"/>
      <c r="G1199" s="287"/>
      <c r="H1199" s="287"/>
      <c r="I1199" s="302"/>
      <c r="J1199" s="303">
        <f t="shared" si="253"/>
        <v>0</v>
      </c>
      <c r="K1199" s="300" t="s">
        <v>3551</v>
      </c>
      <c r="L1199" s="301">
        <v>1</v>
      </c>
      <c r="M1199" s="312" t="s">
        <v>826</v>
      </c>
      <c r="N1199" s="312" t="s">
        <v>820</v>
      </c>
      <c r="O1199" s="312" t="s">
        <v>826</v>
      </c>
      <c r="P1199" s="313" t="s">
        <v>4426</v>
      </c>
    </row>
    <row r="1200" s="106" customFormat="1" ht="20.1" customHeight="1" spans="1:16">
      <c r="A1200" s="279" t="s">
        <v>3334</v>
      </c>
      <c r="B1200" s="41" t="s">
        <v>3335</v>
      </c>
      <c r="C1200" s="287"/>
      <c r="D1200" s="288">
        <f t="shared" si="252"/>
        <v>0</v>
      </c>
      <c r="E1200" s="287"/>
      <c r="F1200" s="287"/>
      <c r="G1200" s="287"/>
      <c r="H1200" s="287"/>
      <c r="I1200" s="302"/>
      <c r="J1200" s="303">
        <f t="shared" si="253"/>
        <v>0</v>
      </c>
      <c r="K1200" s="294" t="s">
        <v>3555</v>
      </c>
      <c r="L1200" s="44">
        <v>1</v>
      </c>
      <c r="M1200" s="308" t="s">
        <v>3330</v>
      </c>
      <c r="N1200" s="308"/>
      <c r="O1200" s="308" t="s">
        <v>826</v>
      </c>
      <c r="P1200" s="309" t="s">
        <v>4426</v>
      </c>
    </row>
    <row r="1201" s="107" customFormat="1" ht="20.1" customHeight="1" spans="1:16">
      <c r="A1201" s="279" t="s">
        <v>3336</v>
      </c>
      <c r="B1201" s="41" t="s">
        <v>3337</v>
      </c>
      <c r="C1201" s="287"/>
      <c r="D1201" s="288">
        <f t="shared" si="252"/>
        <v>0</v>
      </c>
      <c r="E1201" s="287"/>
      <c r="F1201" s="287"/>
      <c r="G1201" s="287"/>
      <c r="H1201" s="287"/>
      <c r="I1201" s="302"/>
      <c r="J1201" s="303">
        <f t="shared" si="253"/>
        <v>0</v>
      </c>
      <c r="K1201" s="297" t="s">
        <v>3550</v>
      </c>
      <c r="L1201" s="298"/>
      <c r="M1201" s="310" t="s">
        <v>828</v>
      </c>
      <c r="N1201" s="310" t="s">
        <v>828</v>
      </c>
      <c r="O1201" s="310" t="s">
        <v>828</v>
      </c>
      <c r="P1201" s="311" t="s">
        <v>4427</v>
      </c>
    </row>
    <row r="1202" s="107" customFormat="1" ht="20.1" customHeight="1" spans="1:16">
      <c r="A1202" s="279" t="s">
        <v>3338</v>
      </c>
      <c r="B1202" s="41" t="s">
        <v>3339</v>
      </c>
      <c r="C1202" s="287">
        <v>387</v>
      </c>
      <c r="D1202" s="288">
        <f t="shared" si="252"/>
        <v>254</v>
      </c>
      <c r="E1202" s="287">
        <v>254</v>
      </c>
      <c r="F1202" s="287"/>
      <c r="G1202" s="287"/>
      <c r="H1202" s="287"/>
      <c r="I1202" s="302"/>
      <c r="J1202" s="303">
        <f t="shared" si="253"/>
        <v>65.63</v>
      </c>
      <c r="K1202" s="300" t="s">
        <v>3551</v>
      </c>
      <c r="L1202" s="301"/>
      <c r="M1202" s="312" t="s">
        <v>830</v>
      </c>
      <c r="N1202" s="312" t="s">
        <v>828</v>
      </c>
      <c r="O1202" s="312" t="s">
        <v>830</v>
      </c>
      <c r="P1202" s="313" t="s">
        <v>4428</v>
      </c>
    </row>
    <row r="1203" s="106" customFormat="1" ht="20.1" customHeight="1" spans="1:16">
      <c r="A1203" s="690" t="s">
        <v>3340</v>
      </c>
      <c r="B1203" s="691" t="s">
        <v>3341</v>
      </c>
      <c r="C1203" s="287">
        <v>400</v>
      </c>
      <c r="D1203" s="288">
        <f t="shared" si="252"/>
        <v>588</v>
      </c>
      <c r="E1203" s="287">
        <v>229</v>
      </c>
      <c r="F1203" s="287"/>
      <c r="G1203" s="287">
        <v>359</v>
      </c>
      <c r="H1203" s="287"/>
      <c r="I1203" s="302"/>
      <c r="J1203" s="303">
        <f t="shared" si="253"/>
        <v>147</v>
      </c>
      <c r="K1203" s="294" t="s">
        <v>3555</v>
      </c>
      <c r="L1203" s="44">
        <v>1</v>
      </c>
      <c r="M1203" s="308" t="s">
        <v>3332</v>
      </c>
      <c r="N1203" s="308"/>
      <c r="O1203" s="308" t="s">
        <v>830</v>
      </c>
      <c r="P1203" s="309" t="s">
        <v>4429</v>
      </c>
    </row>
    <row r="1204" s="106" customFormat="1" ht="20.1" customHeight="1" spans="1:16">
      <c r="A1204" s="337" t="s">
        <v>3342</v>
      </c>
      <c r="B1204" s="41" t="s">
        <v>3343</v>
      </c>
      <c r="C1204" s="287"/>
      <c r="D1204" s="288">
        <f t="shared" si="252"/>
        <v>0</v>
      </c>
      <c r="E1204" s="287"/>
      <c r="F1204" s="287"/>
      <c r="G1204" s="287"/>
      <c r="H1204" s="287"/>
      <c r="I1204" s="302"/>
      <c r="J1204" s="303"/>
      <c r="K1204" s="294" t="s">
        <v>3555</v>
      </c>
      <c r="L1204" s="44">
        <v>1</v>
      </c>
      <c r="M1204" s="308" t="s">
        <v>3334</v>
      </c>
      <c r="N1204" s="308"/>
      <c r="O1204" s="308" t="s">
        <v>830</v>
      </c>
      <c r="P1204" s="309" t="s">
        <v>4430</v>
      </c>
    </row>
    <row r="1205" s="106" customFormat="1" ht="20.1" customHeight="1" spans="1:16">
      <c r="A1205" s="337" t="s">
        <v>3344</v>
      </c>
      <c r="B1205" s="41" t="s">
        <v>3345</v>
      </c>
      <c r="C1205" s="287"/>
      <c r="D1205" s="288">
        <f t="shared" si="252"/>
        <v>0</v>
      </c>
      <c r="E1205" s="287"/>
      <c r="F1205" s="287"/>
      <c r="G1205" s="287"/>
      <c r="H1205" s="287"/>
      <c r="I1205" s="302"/>
      <c r="J1205" s="303"/>
      <c r="K1205" s="294" t="s">
        <v>3555</v>
      </c>
      <c r="L1205" s="44">
        <v>1</v>
      </c>
      <c r="M1205" s="308" t="s">
        <v>3336</v>
      </c>
      <c r="N1205" s="308"/>
      <c r="O1205" s="308" t="s">
        <v>830</v>
      </c>
      <c r="P1205" s="309" t="s">
        <v>4431</v>
      </c>
    </row>
    <row r="1206" s="106" customFormat="1" ht="20.1" customHeight="1" spans="1:16">
      <c r="A1206" s="337" t="s">
        <v>3346</v>
      </c>
      <c r="B1206" s="691" t="s">
        <v>3347</v>
      </c>
      <c r="C1206" s="287"/>
      <c r="D1206" s="288">
        <f t="shared" si="252"/>
        <v>0</v>
      </c>
      <c r="E1206" s="287"/>
      <c r="F1206" s="287"/>
      <c r="G1206" s="287"/>
      <c r="H1206" s="287"/>
      <c r="I1206" s="302"/>
      <c r="J1206" s="303"/>
      <c r="K1206" s="294" t="s">
        <v>3555</v>
      </c>
      <c r="L1206" s="44">
        <v>1</v>
      </c>
      <c r="M1206" s="308" t="s">
        <v>3338</v>
      </c>
      <c r="N1206" s="308"/>
      <c r="O1206" s="308" t="s">
        <v>830</v>
      </c>
      <c r="P1206" s="309" t="s">
        <v>4432</v>
      </c>
    </row>
    <row r="1207" s="106" customFormat="1" ht="20.1" customHeight="1" spans="1:16">
      <c r="A1207" s="279" t="s">
        <v>3348</v>
      </c>
      <c r="B1207" s="41" t="s">
        <v>3349</v>
      </c>
      <c r="C1207" s="287">
        <v>3</v>
      </c>
      <c r="D1207" s="288">
        <f t="shared" si="252"/>
        <v>0</v>
      </c>
      <c r="E1207" s="287"/>
      <c r="F1207" s="287"/>
      <c r="G1207" s="287"/>
      <c r="H1207" s="287"/>
      <c r="I1207" s="302"/>
      <c r="J1207" s="303">
        <f t="shared" ref="J1207:J1229" si="255">ROUND(IF(C1207=0,IF(D1207=0,0,1),IF(D1207=0,-1,D1207/C1207)),4)*100</f>
        <v>-100</v>
      </c>
      <c r="K1207" s="294" t="s">
        <v>3555</v>
      </c>
      <c r="L1207" s="44">
        <v>1</v>
      </c>
      <c r="M1207" s="692" t="s">
        <v>3340</v>
      </c>
      <c r="N1207" s="308"/>
      <c r="O1207" s="308" t="s">
        <v>830</v>
      </c>
      <c r="P1207" s="342" t="s">
        <v>4433</v>
      </c>
    </row>
    <row r="1208" s="106" customFormat="1" ht="20.1" customHeight="1" spans="1:16">
      <c r="A1208" s="283" t="s">
        <v>832</v>
      </c>
      <c r="B1208" s="323" t="s">
        <v>3350</v>
      </c>
      <c r="C1208" s="285">
        <f t="shared" ref="C1208:I1208" si="256">SUM(C1209:C1211)</f>
        <v>7646</v>
      </c>
      <c r="D1208" s="285">
        <f t="shared" si="252"/>
        <v>10112</v>
      </c>
      <c r="E1208" s="285">
        <f t="shared" si="256"/>
        <v>0</v>
      </c>
      <c r="F1208" s="285">
        <f t="shared" si="256"/>
        <v>0</v>
      </c>
      <c r="G1208" s="285">
        <f t="shared" si="256"/>
        <v>0</v>
      </c>
      <c r="H1208" s="285">
        <f t="shared" si="256"/>
        <v>0</v>
      </c>
      <c r="I1208" s="285">
        <f t="shared" si="256"/>
        <v>10112</v>
      </c>
      <c r="J1208" s="324">
        <f t="shared" si="255"/>
        <v>132.25</v>
      </c>
      <c r="K1208" s="294" t="s">
        <v>3555</v>
      </c>
      <c r="L1208" s="44">
        <v>1</v>
      </c>
      <c r="M1208" s="343" t="s">
        <v>3342</v>
      </c>
      <c r="N1208" s="308"/>
      <c r="O1208" s="308" t="s">
        <v>830</v>
      </c>
      <c r="P1208" s="340" t="s">
        <v>4434</v>
      </c>
    </row>
    <row r="1209" s="106" customFormat="1" ht="20.1" customHeight="1" spans="1:16">
      <c r="A1209" s="279" t="s">
        <v>3351</v>
      </c>
      <c r="B1209" s="41" t="s">
        <v>3352</v>
      </c>
      <c r="C1209" s="287">
        <v>7646</v>
      </c>
      <c r="D1209" s="288">
        <f t="shared" si="252"/>
        <v>10112</v>
      </c>
      <c r="E1209" s="287"/>
      <c r="F1209" s="287"/>
      <c r="G1209" s="287"/>
      <c r="H1209" s="287"/>
      <c r="I1209" s="302">
        <v>10112</v>
      </c>
      <c r="J1209" s="303">
        <f t="shared" si="255"/>
        <v>132.25</v>
      </c>
      <c r="K1209" s="294" t="s">
        <v>3555</v>
      </c>
      <c r="L1209" s="44">
        <v>1</v>
      </c>
      <c r="M1209" s="343" t="s">
        <v>3344</v>
      </c>
      <c r="N1209" s="308"/>
      <c r="O1209" s="308" t="s">
        <v>830</v>
      </c>
      <c r="P1209" s="340" t="s">
        <v>4435</v>
      </c>
    </row>
    <row r="1210" s="106" customFormat="1" ht="20.1" customHeight="1" spans="1:16">
      <c r="A1210" s="279" t="s">
        <v>3353</v>
      </c>
      <c r="B1210" s="41" t="s">
        <v>3354</v>
      </c>
      <c r="C1210" s="287">
        <v>0</v>
      </c>
      <c r="D1210" s="288">
        <f t="shared" si="252"/>
        <v>0</v>
      </c>
      <c r="E1210" s="287"/>
      <c r="F1210" s="287"/>
      <c r="G1210" s="287"/>
      <c r="H1210" s="287"/>
      <c r="I1210" s="302"/>
      <c r="J1210" s="303">
        <f t="shared" si="255"/>
        <v>0</v>
      </c>
      <c r="K1210" s="294" t="s">
        <v>3555</v>
      </c>
      <c r="L1210" s="44">
        <v>1</v>
      </c>
      <c r="M1210" s="343" t="s">
        <v>3346</v>
      </c>
      <c r="N1210" s="308"/>
      <c r="O1210" s="308" t="s">
        <v>830</v>
      </c>
      <c r="P1210" s="342" t="s">
        <v>4436</v>
      </c>
    </row>
    <row r="1211" s="106" customFormat="1" ht="20.1" customHeight="1" spans="1:16">
      <c r="A1211" s="279" t="s">
        <v>3355</v>
      </c>
      <c r="B1211" s="41" t="s">
        <v>3356</v>
      </c>
      <c r="C1211" s="287">
        <v>0</v>
      </c>
      <c r="D1211" s="288">
        <f t="shared" si="252"/>
        <v>0</v>
      </c>
      <c r="E1211" s="287"/>
      <c r="F1211" s="287"/>
      <c r="G1211" s="287"/>
      <c r="H1211" s="287"/>
      <c r="I1211" s="302"/>
      <c r="J1211" s="303">
        <f t="shared" si="255"/>
        <v>0</v>
      </c>
      <c r="K1211" s="294" t="s">
        <v>3555</v>
      </c>
      <c r="L1211" s="44">
        <v>1</v>
      </c>
      <c r="M1211" s="308" t="s">
        <v>3348</v>
      </c>
      <c r="N1211" s="308"/>
      <c r="O1211" s="308" t="s">
        <v>830</v>
      </c>
      <c r="P1211" s="309" t="s">
        <v>4437</v>
      </c>
    </row>
    <row r="1212" s="107" customFormat="1" ht="20.1" customHeight="1" spans="1:16">
      <c r="A1212" s="283" t="s">
        <v>834</v>
      </c>
      <c r="B1212" s="323" t="s">
        <v>3357</v>
      </c>
      <c r="C1212" s="285">
        <f t="shared" ref="C1212:I1212" si="257">SUM(C1213:C1215)</f>
        <v>0</v>
      </c>
      <c r="D1212" s="285">
        <f t="shared" si="252"/>
        <v>0</v>
      </c>
      <c r="E1212" s="285">
        <f t="shared" si="257"/>
        <v>0</v>
      </c>
      <c r="F1212" s="285">
        <f t="shared" si="257"/>
        <v>0</v>
      </c>
      <c r="G1212" s="285">
        <f t="shared" si="257"/>
        <v>0</v>
      </c>
      <c r="H1212" s="285">
        <f t="shared" si="257"/>
        <v>0</v>
      </c>
      <c r="I1212" s="285">
        <f t="shared" si="257"/>
        <v>0</v>
      </c>
      <c r="J1212" s="324">
        <f t="shared" si="255"/>
        <v>0</v>
      </c>
      <c r="K1212" s="300" t="s">
        <v>3551</v>
      </c>
      <c r="L1212" s="301"/>
      <c r="M1212" s="312" t="s">
        <v>832</v>
      </c>
      <c r="N1212" s="312" t="s">
        <v>828</v>
      </c>
      <c r="O1212" s="312" t="s">
        <v>832</v>
      </c>
      <c r="P1212" s="313" t="s">
        <v>4438</v>
      </c>
    </row>
    <row r="1213" s="106" customFormat="1" ht="20.1" customHeight="1" spans="1:16">
      <c r="A1213" s="279" t="s">
        <v>3358</v>
      </c>
      <c r="B1213" s="41" t="s">
        <v>3359</v>
      </c>
      <c r="C1213" s="287"/>
      <c r="D1213" s="288">
        <f t="shared" si="252"/>
        <v>0</v>
      </c>
      <c r="E1213" s="287"/>
      <c r="F1213" s="287"/>
      <c r="G1213" s="287"/>
      <c r="H1213" s="287"/>
      <c r="I1213" s="302"/>
      <c r="J1213" s="303">
        <f t="shared" si="255"/>
        <v>0</v>
      </c>
      <c r="K1213" s="294" t="s">
        <v>3555</v>
      </c>
      <c r="L1213" s="44">
        <v>1</v>
      </c>
      <c r="M1213" s="308" t="s">
        <v>3351</v>
      </c>
      <c r="N1213" s="308"/>
      <c r="O1213" s="308" t="s">
        <v>832</v>
      </c>
      <c r="P1213" s="309" t="s">
        <v>4439</v>
      </c>
    </row>
    <row r="1214" s="106" customFormat="1" ht="20.1" customHeight="1" spans="1:16">
      <c r="A1214" s="279" t="s">
        <v>3360</v>
      </c>
      <c r="B1214" s="41" t="s">
        <v>3361</v>
      </c>
      <c r="C1214" s="287">
        <v>0</v>
      </c>
      <c r="D1214" s="288">
        <f t="shared" si="252"/>
        <v>0</v>
      </c>
      <c r="E1214" s="287"/>
      <c r="F1214" s="287"/>
      <c r="G1214" s="287"/>
      <c r="H1214" s="287"/>
      <c r="I1214" s="302"/>
      <c r="J1214" s="303">
        <f t="shared" si="255"/>
        <v>0</v>
      </c>
      <c r="K1214" s="294" t="s">
        <v>3555</v>
      </c>
      <c r="L1214" s="44">
        <v>1</v>
      </c>
      <c r="M1214" s="308" t="s">
        <v>3353</v>
      </c>
      <c r="N1214" s="308"/>
      <c r="O1214" s="308" t="s">
        <v>832</v>
      </c>
      <c r="P1214" s="309" t="s">
        <v>4440</v>
      </c>
    </row>
    <row r="1215" s="106" customFormat="1" ht="20.1" customHeight="1" spans="1:16">
      <c r="A1215" s="279" t="s">
        <v>3362</v>
      </c>
      <c r="B1215" s="41" t="s">
        <v>3363</v>
      </c>
      <c r="C1215" s="287">
        <v>0</v>
      </c>
      <c r="D1215" s="288">
        <f t="shared" si="252"/>
        <v>0</v>
      </c>
      <c r="E1215" s="287"/>
      <c r="F1215" s="287"/>
      <c r="G1215" s="287"/>
      <c r="H1215" s="287"/>
      <c r="I1215" s="302"/>
      <c r="J1215" s="303">
        <f t="shared" si="255"/>
        <v>0</v>
      </c>
      <c r="K1215" s="294" t="s">
        <v>3555</v>
      </c>
      <c r="L1215" s="44">
        <v>1</v>
      </c>
      <c r="M1215" s="308" t="s">
        <v>3355</v>
      </c>
      <c r="N1215" s="308"/>
      <c r="O1215" s="308" t="s">
        <v>832</v>
      </c>
      <c r="P1215" s="309" t="s">
        <v>4441</v>
      </c>
    </row>
    <row r="1216" s="107" customFormat="1" ht="20.1" customHeight="1" spans="1:16">
      <c r="A1216" s="280" t="s">
        <v>836</v>
      </c>
      <c r="B1216" s="281" t="s">
        <v>837</v>
      </c>
      <c r="C1216" s="282">
        <f t="shared" ref="C1216:I1216" si="258">C1217+C1235+C1242+C1248</f>
        <v>112</v>
      </c>
      <c r="D1216" s="282">
        <f t="shared" si="252"/>
        <v>121</v>
      </c>
      <c r="E1216" s="282">
        <f t="shared" si="258"/>
        <v>0</v>
      </c>
      <c r="F1216" s="282">
        <f t="shared" si="258"/>
        <v>0</v>
      </c>
      <c r="G1216" s="282">
        <f t="shared" si="258"/>
        <v>0</v>
      </c>
      <c r="H1216" s="282">
        <f t="shared" si="258"/>
        <v>0</v>
      </c>
      <c r="I1216" s="282">
        <f t="shared" si="258"/>
        <v>121</v>
      </c>
      <c r="J1216" s="296">
        <f t="shared" si="255"/>
        <v>108.04</v>
      </c>
      <c r="K1216" s="300" t="s">
        <v>3551</v>
      </c>
      <c r="L1216" s="301"/>
      <c r="M1216" s="312" t="s">
        <v>834</v>
      </c>
      <c r="N1216" s="312" t="s">
        <v>828</v>
      </c>
      <c r="O1216" s="312" t="s">
        <v>834</v>
      </c>
      <c r="P1216" s="313" t="s">
        <v>4442</v>
      </c>
    </row>
    <row r="1217" s="106" customFormat="1" ht="20.1" customHeight="1" spans="1:16">
      <c r="A1217" s="283" t="s">
        <v>838</v>
      </c>
      <c r="B1217" s="323" t="s">
        <v>3364</v>
      </c>
      <c r="C1217" s="285">
        <f t="shared" ref="C1217:I1217" si="259">SUM(C1218:C1234)</f>
        <v>112</v>
      </c>
      <c r="D1217" s="285">
        <f t="shared" si="252"/>
        <v>121</v>
      </c>
      <c r="E1217" s="285">
        <f t="shared" si="259"/>
        <v>0</v>
      </c>
      <c r="F1217" s="285">
        <f t="shared" si="259"/>
        <v>0</v>
      </c>
      <c r="G1217" s="285">
        <f t="shared" si="259"/>
        <v>0</v>
      </c>
      <c r="H1217" s="285">
        <f t="shared" si="259"/>
        <v>0</v>
      </c>
      <c r="I1217" s="285">
        <f t="shared" si="259"/>
        <v>121</v>
      </c>
      <c r="J1217" s="324">
        <f t="shared" si="255"/>
        <v>108.04</v>
      </c>
      <c r="K1217" s="294" t="s">
        <v>3555</v>
      </c>
      <c r="L1217" s="44">
        <v>1</v>
      </c>
      <c r="M1217" s="308" t="s">
        <v>3358</v>
      </c>
      <c r="N1217" s="308"/>
      <c r="O1217" s="308" t="s">
        <v>834</v>
      </c>
      <c r="P1217" s="309" t="s">
        <v>4443</v>
      </c>
    </row>
    <row r="1218" s="106" customFormat="1" ht="20.1" customHeight="1" spans="1:16">
      <c r="A1218" s="279" t="s">
        <v>3365</v>
      </c>
      <c r="B1218" s="41" t="s">
        <v>1458</v>
      </c>
      <c r="C1218" s="287">
        <v>2</v>
      </c>
      <c r="D1218" s="288">
        <f t="shared" si="252"/>
        <v>0</v>
      </c>
      <c r="E1218" s="287"/>
      <c r="F1218" s="287"/>
      <c r="G1218" s="287"/>
      <c r="H1218" s="287"/>
      <c r="I1218" s="302"/>
      <c r="J1218" s="303">
        <f t="shared" si="255"/>
        <v>-100</v>
      </c>
      <c r="K1218" s="294" t="s">
        <v>3555</v>
      </c>
      <c r="L1218" s="44">
        <v>1</v>
      </c>
      <c r="M1218" s="308" t="s">
        <v>3360</v>
      </c>
      <c r="N1218" s="308"/>
      <c r="O1218" s="308" t="s">
        <v>834</v>
      </c>
      <c r="P1218" s="309" t="s">
        <v>4444</v>
      </c>
    </row>
    <row r="1219" s="106" customFormat="1" ht="20.1" customHeight="1" spans="1:16">
      <c r="A1219" s="279" t="s">
        <v>3366</v>
      </c>
      <c r="B1219" s="41" t="s">
        <v>1460</v>
      </c>
      <c r="C1219" s="287"/>
      <c r="D1219" s="288">
        <f t="shared" si="252"/>
        <v>0</v>
      </c>
      <c r="E1219" s="287"/>
      <c r="F1219" s="287"/>
      <c r="G1219" s="287"/>
      <c r="H1219" s="287"/>
      <c r="I1219" s="302"/>
      <c r="J1219" s="303">
        <f t="shared" si="255"/>
        <v>0</v>
      </c>
      <c r="K1219" s="294" t="s">
        <v>3555</v>
      </c>
      <c r="L1219" s="44">
        <v>1</v>
      </c>
      <c r="M1219" s="308" t="s">
        <v>3362</v>
      </c>
      <c r="N1219" s="308"/>
      <c r="O1219" s="308" t="s">
        <v>834</v>
      </c>
      <c r="P1219" s="309" t="s">
        <v>4445</v>
      </c>
    </row>
    <row r="1220" s="107" customFormat="1" ht="20.1" customHeight="1" spans="1:16">
      <c r="A1220" s="279" t="s">
        <v>3367</v>
      </c>
      <c r="B1220" s="41" t="s">
        <v>1462</v>
      </c>
      <c r="C1220" s="287"/>
      <c r="D1220" s="288">
        <f t="shared" si="252"/>
        <v>0</v>
      </c>
      <c r="E1220" s="287"/>
      <c r="F1220" s="287"/>
      <c r="G1220" s="287"/>
      <c r="H1220" s="287"/>
      <c r="I1220" s="302"/>
      <c r="J1220" s="303">
        <f t="shared" si="255"/>
        <v>0</v>
      </c>
      <c r="K1220" s="297" t="s">
        <v>3550</v>
      </c>
      <c r="L1220" s="298"/>
      <c r="M1220" s="310" t="s">
        <v>836</v>
      </c>
      <c r="N1220" s="310" t="s">
        <v>836</v>
      </c>
      <c r="O1220" s="310" t="s">
        <v>836</v>
      </c>
      <c r="P1220" s="311" t="s">
        <v>4446</v>
      </c>
    </row>
    <row r="1221" s="107" customFormat="1" ht="20.1" customHeight="1" spans="1:16">
      <c r="A1221" s="279" t="s">
        <v>3368</v>
      </c>
      <c r="B1221" s="41" t="s">
        <v>3369</v>
      </c>
      <c r="C1221" s="287"/>
      <c r="D1221" s="288">
        <f t="shared" si="252"/>
        <v>0</v>
      </c>
      <c r="E1221" s="287"/>
      <c r="F1221" s="287"/>
      <c r="G1221" s="287"/>
      <c r="H1221" s="287"/>
      <c r="I1221" s="302"/>
      <c r="J1221" s="303">
        <f t="shared" si="255"/>
        <v>0</v>
      </c>
      <c r="K1221" s="300" t="s">
        <v>3551</v>
      </c>
      <c r="L1221" s="301"/>
      <c r="M1221" s="312" t="s">
        <v>838</v>
      </c>
      <c r="N1221" s="312" t="s">
        <v>836</v>
      </c>
      <c r="O1221" s="312" t="s">
        <v>838</v>
      </c>
      <c r="P1221" s="313" t="s">
        <v>4447</v>
      </c>
    </row>
    <row r="1222" s="106" customFormat="1" ht="20.1" customHeight="1" spans="1:16">
      <c r="A1222" s="279" t="s">
        <v>3370</v>
      </c>
      <c r="B1222" s="41" t="s">
        <v>3371</v>
      </c>
      <c r="C1222" s="287"/>
      <c r="D1222" s="288">
        <f t="shared" si="252"/>
        <v>0</v>
      </c>
      <c r="E1222" s="287"/>
      <c r="F1222" s="287"/>
      <c r="G1222" s="287"/>
      <c r="H1222" s="287"/>
      <c r="I1222" s="302"/>
      <c r="J1222" s="303">
        <f t="shared" si="255"/>
        <v>0</v>
      </c>
      <c r="K1222" s="294" t="s">
        <v>3555</v>
      </c>
      <c r="L1222" s="44">
        <v>1</v>
      </c>
      <c r="M1222" s="308" t="s">
        <v>3365</v>
      </c>
      <c r="N1222" s="308"/>
      <c r="O1222" s="308" t="s">
        <v>838</v>
      </c>
      <c r="P1222" s="314" t="s">
        <v>3556</v>
      </c>
    </row>
    <row r="1223" s="106" customFormat="1" ht="20.1" customHeight="1" spans="1:16">
      <c r="A1223" s="279" t="s">
        <v>3372</v>
      </c>
      <c r="B1223" s="41" t="s">
        <v>3373</v>
      </c>
      <c r="C1223" s="287"/>
      <c r="D1223" s="288">
        <f t="shared" si="252"/>
        <v>0</v>
      </c>
      <c r="E1223" s="287"/>
      <c r="F1223" s="287"/>
      <c r="G1223" s="287"/>
      <c r="H1223" s="287"/>
      <c r="I1223" s="302"/>
      <c r="J1223" s="303">
        <f t="shared" si="255"/>
        <v>0</v>
      </c>
      <c r="K1223" s="294" t="s">
        <v>3555</v>
      </c>
      <c r="L1223" s="44">
        <v>1</v>
      </c>
      <c r="M1223" s="308" t="s">
        <v>3366</v>
      </c>
      <c r="N1223" s="308"/>
      <c r="O1223" s="308" t="s">
        <v>838</v>
      </c>
      <c r="P1223" s="314" t="s">
        <v>3557</v>
      </c>
    </row>
    <row r="1224" s="106" customFormat="1" ht="20.1" customHeight="1" spans="1:16">
      <c r="A1224" s="279" t="s">
        <v>3374</v>
      </c>
      <c r="B1224" s="41" t="s">
        <v>3375</v>
      </c>
      <c r="C1224" s="287"/>
      <c r="D1224" s="288">
        <f t="shared" si="252"/>
        <v>0</v>
      </c>
      <c r="E1224" s="287"/>
      <c r="F1224" s="287"/>
      <c r="G1224" s="287"/>
      <c r="H1224" s="287"/>
      <c r="I1224" s="302"/>
      <c r="J1224" s="303">
        <f t="shared" si="255"/>
        <v>0</v>
      </c>
      <c r="K1224" s="294" t="s">
        <v>3555</v>
      </c>
      <c r="L1224" s="44">
        <v>1</v>
      </c>
      <c r="M1224" s="308" t="s">
        <v>3367</v>
      </c>
      <c r="N1224" s="308"/>
      <c r="O1224" s="308" t="s">
        <v>838</v>
      </c>
      <c r="P1224" s="314" t="s">
        <v>3558</v>
      </c>
    </row>
    <row r="1225" s="106" customFormat="1" ht="20.1" customHeight="1" spans="1:16">
      <c r="A1225" s="279" t="s">
        <v>3376</v>
      </c>
      <c r="B1225" s="41" t="s">
        <v>3377</v>
      </c>
      <c r="C1225" s="287"/>
      <c r="D1225" s="288">
        <f t="shared" si="252"/>
        <v>0</v>
      </c>
      <c r="E1225" s="287"/>
      <c r="F1225" s="287"/>
      <c r="G1225" s="287"/>
      <c r="H1225" s="287"/>
      <c r="I1225" s="302"/>
      <c r="J1225" s="303">
        <f t="shared" si="255"/>
        <v>0</v>
      </c>
      <c r="K1225" s="294" t="s">
        <v>3555</v>
      </c>
      <c r="L1225" s="44">
        <v>1</v>
      </c>
      <c r="M1225" s="308" t="s">
        <v>3368</v>
      </c>
      <c r="N1225" s="308"/>
      <c r="O1225" s="308" t="s">
        <v>838</v>
      </c>
      <c r="P1225" s="309" t="s">
        <v>4448</v>
      </c>
    </row>
    <row r="1226" s="106" customFormat="1" ht="20.1" customHeight="1" spans="1:16">
      <c r="A1226" s="279" t="s">
        <v>3378</v>
      </c>
      <c r="B1226" s="41" t="s">
        <v>3379</v>
      </c>
      <c r="C1226" s="287"/>
      <c r="D1226" s="288">
        <f t="shared" si="252"/>
        <v>0</v>
      </c>
      <c r="E1226" s="287"/>
      <c r="F1226" s="287"/>
      <c r="G1226" s="287"/>
      <c r="H1226" s="287"/>
      <c r="I1226" s="302"/>
      <c r="J1226" s="303">
        <f t="shared" si="255"/>
        <v>0</v>
      </c>
      <c r="K1226" s="294" t="s">
        <v>3555</v>
      </c>
      <c r="L1226" s="44">
        <v>1</v>
      </c>
      <c r="M1226" s="308" t="s">
        <v>3370</v>
      </c>
      <c r="N1226" s="308"/>
      <c r="O1226" s="308" t="s">
        <v>838</v>
      </c>
      <c r="P1226" s="309" t="s">
        <v>4449</v>
      </c>
    </row>
    <row r="1227" s="106" customFormat="1" ht="20.1" customHeight="1" spans="1:16">
      <c r="A1227" s="279" t="s">
        <v>3380</v>
      </c>
      <c r="B1227" s="41" t="s">
        <v>3381</v>
      </c>
      <c r="C1227" s="287"/>
      <c r="D1227" s="288">
        <f t="shared" si="252"/>
        <v>0</v>
      </c>
      <c r="E1227" s="287"/>
      <c r="F1227" s="287"/>
      <c r="G1227" s="287"/>
      <c r="H1227" s="287"/>
      <c r="I1227" s="302"/>
      <c r="J1227" s="303">
        <f t="shared" si="255"/>
        <v>0</v>
      </c>
      <c r="K1227" s="294" t="s">
        <v>3555</v>
      </c>
      <c r="L1227" s="44">
        <v>1</v>
      </c>
      <c r="M1227" s="308" t="s">
        <v>3372</v>
      </c>
      <c r="N1227" s="308"/>
      <c r="O1227" s="308" t="s">
        <v>838</v>
      </c>
      <c r="P1227" s="309" t="s">
        <v>4450</v>
      </c>
    </row>
    <row r="1228" s="106" customFormat="1" ht="20.1" customHeight="1" spans="1:16">
      <c r="A1228" s="279" t="s">
        <v>3382</v>
      </c>
      <c r="B1228" s="41" t="s">
        <v>3383</v>
      </c>
      <c r="C1228" s="287"/>
      <c r="D1228" s="288">
        <f t="shared" si="252"/>
        <v>0</v>
      </c>
      <c r="E1228" s="287"/>
      <c r="F1228" s="287"/>
      <c r="G1228" s="287"/>
      <c r="H1228" s="287"/>
      <c r="I1228" s="302"/>
      <c r="J1228" s="303">
        <f t="shared" si="255"/>
        <v>0</v>
      </c>
      <c r="K1228" s="294" t="s">
        <v>3555</v>
      </c>
      <c r="L1228" s="44">
        <v>1</v>
      </c>
      <c r="M1228" s="308" t="s">
        <v>3374</v>
      </c>
      <c r="N1228" s="308"/>
      <c r="O1228" s="308" t="s">
        <v>838</v>
      </c>
      <c r="P1228" s="309" t="s">
        <v>4451</v>
      </c>
    </row>
    <row r="1229" s="106" customFormat="1" ht="20.1" customHeight="1" spans="1:16">
      <c r="A1229" s="279" t="s">
        <v>3384</v>
      </c>
      <c r="B1229" s="41" t="s">
        <v>3385</v>
      </c>
      <c r="C1229" s="287"/>
      <c r="D1229" s="288">
        <f t="shared" si="252"/>
        <v>0</v>
      </c>
      <c r="E1229" s="287"/>
      <c r="F1229" s="287"/>
      <c r="G1229" s="287"/>
      <c r="H1229" s="287"/>
      <c r="I1229" s="302"/>
      <c r="J1229" s="303">
        <f t="shared" si="255"/>
        <v>0</v>
      </c>
      <c r="K1229" s="294" t="s">
        <v>3555</v>
      </c>
      <c r="L1229" s="44">
        <v>1</v>
      </c>
      <c r="M1229" s="308" t="s">
        <v>3376</v>
      </c>
      <c r="N1229" s="308"/>
      <c r="O1229" s="308" t="s">
        <v>838</v>
      </c>
      <c r="P1229" s="309" t="s">
        <v>4452</v>
      </c>
    </row>
    <row r="1230" s="106" customFormat="1" ht="20.1" customHeight="1" spans="1:16">
      <c r="A1230" s="279" t="s">
        <v>3386</v>
      </c>
      <c r="B1230" s="41" t="s">
        <v>3387</v>
      </c>
      <c r="C1230" s="287"/>
      <c r="D1230" s="288">
        <f t="shared" si="252"/>
        <v>0</v>
      </c>
      <c r="E1230" s="287"/>
      <c r="F1230" s="287"/>
      <c r="G1230" s="287"/>
      <c r="H1230" s="287"/>
      <c r="I1230" s="302"/>
      <c r="J1230" s="303"/>
      <c r="K1230" s="294" t="s">
        <v>3555</v>
      </c>
      <c r="L1230" s="44">
        <v>1</v>
      </c>
      <c r="M1230" s="308" t="s">
        <v>3378</v>
      </c>
      <c r="N1230" s="308"/>
      <c r="O1230" s="308" t="s">
        <v>838</v>
      </c>
      <c r="P1230" s="309" t="s">
        <v>4453</v>
      </c>
    </row>
    <row r="1231" s="106" customFormat="1" ht="20.1" customHeight="1" spans="1:16">
      <c r="A1231" s="279" t="s">
        <v>3388</v>
      </c>
      <c r="B1231" s="41" t="s">
        <v>3389</v>
      </c>
      <c r="C1231" s="287"/>
      <c r="D1231" s="288">
        <f t="shared" si="252"/>
        <v>0</v>
      </c>
      <c r="E1231" s="287"/>
      <c r="F1231" s="287"/>
      <c r="G1231" s="287"/>
      <c r="H1231" s="287"/>
      <c r="I1231" s="302"/>
      <c r="J1231" s="303"/>
      <c r="K1231" s="294" t="s">
        <v>3555</v>
      </c>
      <c r="L1231" s="44">
        <v>1</v>
      </c>
      <c r="M1231" s="308" t="s">
        <v>3380</v>
      </c>
      <c r="N1231" s="308"/>
      <c r="O1231" s="308" t="s">
        <v>838</v>
      </c>
      <c r="P1231" s="309" t="s">
        <v>4454</v>
      </c>
    </row>
    <row r="1232" s="106" customFormat="1" ht="20.1" customHeight="1" spans="1:16">
      <c r="A1232" s="279" t="s">
        <v>3390</v>
      </c>
      <c r="B1232" s="41" t="s">
        <v>3391</v>
      </c>
      <c r="C1232" s="287"/>
      <c r="D1232" s="288">
        <f t="shared" si="252"/>
        <v>0</v>
      </c>
      <c r="E1232" s="287"/>
      <c r="F1232" s="287"/>
      <c r="G1232" s="287"/>
      <c r="H1232" s="287"/>
      <c r="I1232" s="302"/>
      <c r="J1232" s="303"/>
      <c r="K1232" s="294" t="s">
        <v>3555</v>
      </c>
      <c r="L1232" s="44">
        <v>1</v>
      </c>
      <c r="M1232" s="308" t="s">
        <v>3382</v>
      </c>
      <c r="N1232" s="308"/>
      <c r="O1232" s="308" t="s">
        <v>838</v>
      </c>
      <c r="P1232" s="309" t="s">
        <v>4455</v>
      </c>
    </row>
    <row r="1233" s="106" customFormat="1" ht="20.1" customHeight="1" spans="1:16">
      <c r="A1233" s="279" t="s">
        <v>3392</v>
      </c>
      <c r="B1233" s="41" t="s">
        <v>1476</v>
      </c>
      <c r="C1233" s="287">
        <v>110</v>
      </c>
      <c r="D1233" s="288">
        <f t="shared" si="252"/>
        <v>121</v>
      </c>
      <c r="E1233" s="287"/>
      <c r="F1233" s="287"/>
      <c r="G1233" s="287"/>
      <c r="H1233" s="287"/>
      <c r="I1233" s="302">
        <v>121</v>
      </c>
      <c r="J1233" s="303">
        <f t="shared" ref="J1233:J1238" si="260">ROUND(IF(C1233=0,IF(D1233=0,0,1),IF(D1233=0,-1,D1233/C1233)),4)*100</f>
        <v>110</v>
      </c>
      <c r="K1233" s="294" t="s">
        <v>3555</v>
      </c>
      <c r="L1233" s="44">
        <v>1</v>
      </c>
      <c r="M1233" s="308" t="s">
        <v>3384</v>
      </c>
      <c r="N1233" s="308"/>
      <c r="O1233" s="308" t="s">
        <v>838</v>
      </c>
      <c r="P1233" s="309" t="s">
        <v>4456</v>
      </c>
    </row>
    <row r="1234" s="106" customFormat="1" ht="20.1" customHeight="1" spans="1:16">
      <c r="A1234" s="279" t="s">
        <v>3393</v>
      </c>
      <c r="B1234" s="41" t="s">
        <v>3394</v>
      </c>
      <c r="C1234" s="287"/>
      <c r="D1234" s="288">
        <f t="shared" si="252"/>
        <v>0</v>
      </c>
      <c r="E1234" s="287"/>
      <c r="F1234" s="287"/>
      <c r="G1234" s="287"/>
      <c r="H1234" s="287"/>
      <c r="I1234" s="302"/>
      <c r="J1234" s="303">
        <f t="shared" si="260"/>
        <v>0</v>
      </c>
      <c r="K1234" s="294" t="s">
        <v>3555</v>
      </c>
      <c r="L1234" s="44">
        <v>1</v>
      </c>
      <c r="M1234" s="308" t="s">
        <v>3386</v>
      </c>
      <c r="N1234" s="308"/>
      <c r="O1234" s="308" t="s">
        <v>838</v>
      </c>
      <c r="P1234" s="340" t="s">
        <v>4457</v>
      </c>
    </row>
    <row r="1235" s="106" customFormat="1" ht="20.1" customHeight="1" spans="1:16">
      <c r="A1235" s="283" t="s">
        <v>840</v>
      </c>
      <c r="B1235" s="323" t="s">
        <v>3395</v>
      </c>
      <c r="C1235" s="285">
        <f t="shared" ref="C1235:I1235" si="261">SUM(C1236:C1241)</f>
        <v>0</v>
      </c>
      <c r="D1235" s="285">
        <f t="shared" si="252"/>
        <v>0</v>
      </c>
      <c r="E1235" s="285">
        <f t="shared" si="261"/>
        <v>0</v>
      </c>
      <c r="F1235" s="285">
        <f t="shared" si="261"/>
        <v>0</v>
      </c>
      <c r="G1235" s="285">
        <f t="shared" si="261"/>
        <v>0</v>
      </c>
      <c r="H1235" s="285">
        <f t="shared" si="261"/>
        <v>0</v>
      </c>
      <c r="I1235" s="285">
        <f t="shared" si="261"/>
        <v>0</v>
      </c>
      <c r="J1235" s="324">
        <f t="shared" si="260"/>
        <v>0</v>
      </c>
      <c r="K1235" s="294" t="s">
        <v>3555</v>
      </c>
      <c r="L1235" s="44">
        <v>1</v>
      </c>
      <c r="M1235" s="308" t="s">
        <v>3388</v>
      </c>
      <c r="N1235" s="308"/>
      <c r="O1235" s="308" t="s">
        <v>838</v>
      </c>
      <c r="P1235" s="340" t="s">
        <v>4458</v>
      </c>
    </row>
    <row r="1236" s="106" customFormat="1" ht="20.1" customHeight="1" spans="1:16">
      <c r="A1236" s="279" t="s">
        <v>3396</v>
      </c>
      <c r="B1236" s="41" t="s">
        <v>3397</v>
      </c>
      <c r="C1236" s="287">
        <v>0</v>
      </c>
      <c r="D1236" s="288">
        <f t="shared" si="252"/>
        <v>0</v>
      </c>
      <c r="E1236" s="287"/>
      <c r="F1236" s="287"/>
      <c r="G1236" s="287"/>
      <c r="H1236" s="287"/>
      <c r="I1236" s="302"/>
      <c r="J1236" s="303">
        <f t="shared" si="260"/>
        <v>0</v>
      </c>
      <c r="K1236" s="294" t="s">
        <v>3555</v>
      </c>
      <c r="L1236" s="44">
        <v>1</v>
      </c>
      <c r="M1236" s="308" t="s">
        <v>3390</v>
      </c>
      <c r="N1236" s="308"/>
      <c r="O1236" s="308" t="s">
        <v>838</v>
      </c>
      <c r="P1236" s="340" t="s">
        <v>4459</v>
      </c>
    </row>
    <row r="1237" s="106" customFormat="1" ht="20.1" customHeight="1" spans="1:16">
      <c r="A1237" s="279" t="s">
        <v>3398</v>
      </c>
      <c r="B1237" s="41" t="s">
        <v>3399</v>
      </c>
      <c r="C1237" s="287">
        <v>0</v>
      </c>
      <c r="D1237" s="288">
        <f t="shared" si="252"/>
        <v>0</v>
      </c>
      <c r="E1237" s="287"/>
      <c r="F1237" s="287"/>
      <c r="G1237" s="287"/>
      <c r="H1237" s="287"/>
      <c r="I1237" s="302"/>
      <c r="J1237" s="303">
        <f t="shared" si="260"/>
        <v>0</v>
      </c>
      <c r="K1237" s="294" t="s">
        <v>3555</v>
      </c>
      <c r="L1237" s="44">
        <v>1</v>
      </c>
      <c r="M1237" s="308" t="s">
        <v>3392</v>
      </c>
      <c r="N1237" s="308"/>
      <c r="O1237" s="308" t="s">
        <v>838</v>
      </c>
      <c r="P1237" s="340" t="s">
        <v>3565</v>
      </c>
    </row>
    <row r="1238" s="106" customFormat="1" ht="20.1" customHeight="1" spans="1:16">
      <c r="A1238" s="279" t="s">
        <v>3400</v>
      </c>
      <c r="B1238" s="41" t="s">
        <v>3401</v>
      </c>
      <c r="C1238" s="287">
        <v>0</v>
      </c>
      <c r="D1238" s="288">
        <f t="shared" si="252"/>
        <v>0</v>
      </c>
      <c r="E1238" s="287"/>
      <c r="F1238" s="287"/>
      <c r="G1238" s="287"/>
      <c r="H1238" s="287"/>
      <c r="I1238" s="302"/>
      <c r="J1238" s="303">
        <f t="shared" si="260"/>
        <v>0</v>
      </c>
      <c r="K1238" s="294" t="s">
        <v>3555</v>
      </c>
      <c r="L1238" s="44">
        <v>1</v>
      </c>
      <c r="M1238" s="308" t="s">
        <v>3393</v>
      </c>
      <c r="N1238" s="308"/>
      <c r="O1238" s="308" t="s">
        <v>838</v>
      </c>
      <c r="P1238" s="309" t="s">
        <v>4460</v>
      </c>
    </row>
    <row r="1239" s="107" customFormat="1" ht="20.1" customHeight="1" spans="1:16">
      <c r="A1239" s="279" t="s">
        <v>3402</v>
      </c>
      <c r="B1239" s="41" t="s">
        <v>3403</v>
      </c>
      <c r="C1239" s="287"/>
      <c r="D1239" s="288">
        <f t="shared" si="252"/>
        <v>0</v>
      </c>
      <c r="E1239" s="287"/>
      <c r="F1239" s="287"/>
      <c r="G1239" s="287"/>
      <c r="H1239" s="287"/>
      <c r="I1239" s="302"/>
      <c r="J1239" s="303"/>
      <c r="K1239" s="300" t="s">
        <v>3551</v>
      </c>
      <c r="L1239" s="301"/>
      <c r="M1239" s="312" t="s">
        <v>840</v>
      </c>
      <c r="N1239" s="312" t="s">
        <v>836</v>
      </c>
      <c r="O1239" s="312" t="s">
        <v>840</v>
      </c>
      <c r="P1239" s="313" t="s">
        <v>4461</v>
      </c>
    </row>
    <row r="1240" s="106" customFormat="1" ht="20.1" customHeight="1" spans="1:16">
      <c r="A1240" s="279" t="s">
        <v>3404</v>
      </c>
      <c r="B1240" s="41" t="s">
        <v>3405</v>
      </c>
      <c r="C1240" s="287"/>
      <c r="D1240" s="288">
        <f t="shared" si="252"/>
        <v>0</v>
      </c>
      <c r="E1240" s="287"/>
      <c r="F1240" s="287"/>
      <c r="G1240" s="287"/>
      <c r="H1240" s="287"/>
      <c r="I1240" s="302"/>
      <c r="J1240" s="303"/>
      <c r="K1240" s="294" t="s">
        <v>3555</v>
      </c>
      <c r="L1240" s="44">
        <v>1</v>
      </c>
      <c r="M1240" s="308" t="s">
        <v>3396</v>
      </c>
      <c r="N1240" s="308"/>
      <c r="O1240" s="308" t="s">
        <v>840</v>
      </c>
      <c r="P1240" s="314" t="s">
        <v>4462</v>
      </c>
    </row>
    <row r="1241" s="106" customFormat="1" ht="20.1" customHeight="1" spans="1:16">
      <c r="A1241" s="279" t="s">
        <v>3406</v>
      </c>
      <c r="B1241" s="41" t="s">
        <v>3407</v>
      </c>
      <c r="C1241" s="287">
        <v>0</v>
      </c>
      <c r="D1241" s="288">
        <f t="shared" si="252"/>
        <v>0</v>
      </c>
      <c r="E1241" s="287"/>
      <c r="F1241" s="287"/>
      <c r="G1241" s="287"/>
      <c r="H1241" s="287"/>
      <c r="I1241" s="302"/>
      <c r="J1241" s="303">
        <f t="shared" ref="J1241:J1258" si="262">ROUND(IF(C1241=0,IF(D1241=0,0,1),IF(D1241=0,-1,D1241/C1241)),4)*100</f>
        <v>0</v>
      </c>
      <c r="K1241" s="294" t="s">
        <v>3555</v>
      </c>
      <c r="L1241" s="44">
        <v>1</v>
      </c>
      <c r="M1241" s="308" t="s">
        <v>3398</v>
      </c>
      <c r="N1241" s="308"/>
      <c r="O1241" s="308" t="s">
        <v>840</v>
      </c>
      <c r="P1241" s="309" t="s">
        <v>4463</v>
      </c>
    </row>
    <row r="1242" s="106" customFormat="1" ht="20.1" customHeight="1" spans="1:16">
      <c r="A1242" s="283" t="s">
        <v>842</v>
      </c>
      <c r="B1242" s="323" t="s">
        <v>3408</v>
      </c>
      <c r="C1242" s="285">
        <f t="shared" ref="C1242:I1242" si="263">SUM(C1243:C1247)</f>
        <v>0</v>
      </c>
      <c r="D1242" s="285">
        <f t="shared" si="252"/>
        <v>0</v>
      </c>
      <c r="E1242" s="285">
        <f t="shared" si="263"/>
        <v>0</v>
      </c>
      <c r="F1242" s="285">
        <f t="shared" si="263"/>
        <v>0</v>
      </c>
      <c r="G1242" s="285">
        <f t="shared" si="263"/>
        <v>0</v>
      </c>
      <c r="H1242" s="285">
        <f t="shared" si="263"/>
        <v>0</v>
      </c>
      <c r="I1242" s="285">
        <f t="shared" si="263"/>
        <v>0</v>
      </c>
      <c r="J1242" s="324">
        <f t="shared" si="262"/>
        <v>0</v>
      </c>
      <c r="K1242" s="294" t="s">
        <v>3555</v>
      </c>
      <c r="L1242" s="44">
        <v>1</v>
      </c>
      <c r="M1242" s="308" t="s">
        <v>3400</v>
      </c>
      <c r="N1242" s="308"/>
      <c r="O1242" s="308" t="s">
        <v>840</v>
      </c>
      <c r="P1242" s="309" t="s">
        <v>4464</v>
      </c>
    </row>
    <row r="1243" s="106" customFormat="1" ht="20.1" customHeight="1" spans="1:16">
      <c r="A1243" s="279" t="s">
        <v>3409</v>
      </c>
      <c r="B1243" s="41" t="s">
        <v>3410</v>
      </c>
      <c r="C1243" s="287">
        <v>0</v>
      </c>
      <c r="D1243" s="288">
        <f t="shared" si="252"/>
        <v>0</v>
      </c>
      <c r="E1243" s="287"/>
      <c r="F1243" s="287"/>
      <c r="G1243" s="287"/>
      <c r="H1243" s="287"/>
      <c r="I1243" s="302"/>
      <c r="J1243" s="303">
        <f t="shared" si="262"/>
        <v>0</v>
      </c>
      <c r="K1243" s="294" t="s">
        <v>3555</v>
      </c>
      <c r="L1243" s="44">
        <v>1</v>
      </c>
      <c r="M1243" s="308" t="s">
        <v>3402</v>
      </c>
      <c r="N1243" s="308"/>
      <c r="O1243" s="308" t="s">
        <v>840</v>
      </c>
      <c r="P1243" s="340" t="s">
        <v>4465</v>
      </c>
    </row>
    <row r="1244" s="106" customFormat="1" ht="20.1" customHeight="1" spans="1:16">
      <c r="A1244" s="279" t="s">
        <v>3411</v>
      </c>
      <c r="B1244" s="41" t="s">
        <v>3412</v>
      </c>
      <c r="C1244" s="287">
        <v>0</v>
      </c>
      <c r="D1244" s="288">
        <f t="shared" si="252"/>
        <v>0</v>
      </c>
      <c r="E1244" s="287"/>
      <c r="F1244" s="287"/>
      <c r="G1244" s="287"/>
      <c r="H1244" s="287"/>
      <c r="I1244" s="302"/>
      <c r="J1244" s="303">
        <f t="shared" si="262"/>
        <v>0</v>
      </c>
      <c r="K1244" s="294" t="s">
        <v>3555</v>
      </c>
      <c r="L1244" s="44">
        <v>1</v>
      </c>
      <c r="M1244" s="308" t="s">
        <v>3404</v>
      </c>
      <c r="N1244" s="308"/>
      <c r="O1244" s="308" t="s">
        <v>840</v>
      </c>
      <c r="P1244" s="340" t="s">
        <v>4466</v>
      </c>
    </row>
    <row r="1245" s="106" customFormat="1" ht="20.1" customHeight="1" spans="1:16">
      <c r="A1245" s="279" t="s">
        <v>3413</v>
      </c>
      <c r="B1245" s="41" t="s">
        <v>3414</v>
      </c>
      <c r="C1245" s="287"/>
      <c r="D1245" s="288">
        <f t="shared" si="252"/>
        <v>0</v>
      </c>
      <c r="E1245" s="287"/>
      <c r="F1245" s="287"/>
      <c r="G1245" s="287"/>
      <c r="H1245" s="287"/>
      <c r="I1245" s="302"/>
      <c r="J1245" s="303">
        <f t="shared" si="262"/>
        <v>0</v>
      </c>
      <c r="K1245" s="294" t="s">
        <v>3555</v>
      </c>
      <c r="L1245" s="44">
        <v>1</v>
      </c>
      <c r="M1245" s="308" t="s">
        <v>3406</v>
      </c>
      <c r="N1245" s="308"/>
      <c r="O1245" s="308" t="s">
        <v>840</v>
      </c>
      <c r="P1245" s="314" t="s">
        <v>4467</v>
      </c>
    </row>
    <row r="1246" s="107" customFormat="1" ht="20.1" customHeight="1" spans="1:16">
      <c r="A1246" s="279" t="s">
        <v>3415</v>
      </c>
      <c r="B1246" s="41" t="s">
        <v>3416</v>
      </c>
      <c r="C1246" s="287">
        <v>0</v>
      </c>
      <c r="D1246" s="288">
        <f t="shared" si="252"/>
        <v>0</v>
      </c>
      <c r="E1246" s="287"/>
      <c r="F1246" s="287"/>
      <c r="G1246" s="287"/>
      <c r="H1246" s="287"/>
      <c r="I1246" s="302"/>
      <c r="J1246" s="303">
        <f t="shared" si="262"/>
        <v>0</v>
      </c>
      <c r="K1246" s="300" t="s">
        <v>3551</v>
      </c>
      <c r="L1246" s="301"/>
      <c r="M1246" s="312" t="s">
        <v>842</v>
      </c>
      <c r="N1246" s="312" t="s">
        <v>836</v>
      </c>
      <c r="O1246" s="312" t="s">
        <v>842</v>
      </c>
      <c r="P1246" s="313" t="s">
        <v>4468</v>
      </c>
    </row>
    <row r="1247" s="106" customFormat="1" ht="20.1" customHeight="1" spans="1:16">
      <c r="A1247" s="279" t="s">
        <v>3417</v>
      </c>
      <c r="B1247" s="41" t="s">
        <v>3418</v>
      </c>
      <c r="C1247" s="287">
        <v>0</v>
      </c>
      <c r="D1247" s="288">
        <f t="shared" si="252"/>
        <v>0</v>
      </c>
      <c r="E1247" s="287"/>
      <c r="F1247" s="287"/>
      <c r="G1247" s="287"/>
      <c r="H1247" s="287"/>
      <c r="I1247" s="302"/>
      <c r="J1247" s="303">
        <f t="shared" si="262"/>
        <v>0</v>
      </c>
      <c r="K1247" s="294" t="s">
        <v>3555</v>
      </c>
      <c r="L1247" s="44">
        <v>1</v>
      </c>
      <c r="M1247" s="308" t="s">
        <v>3409</v>
      </c>
      <c r="N1247" s="308"/>
      <c r="O1247" s="308" t="s">
        <v>842</v>
      </c>
      <c r="P1247" s="309" t="s">
        <v>4469</v>
      </c>
    </row>
    <row r="1248" s="106" customFormat="1" ht="20.1" customHeight="1" spans="1:16">
      <c r="A1248" s="283" t="s">
        <v>844</v>
      </c>
      <c r="B1248" s="323" t="s">
        <v>3419</v>
      </c>
      <c r="C1248" s="285">
        <f t="shared" ref="C1248:I1248" si="264">SUM(C1249:C1260)</f>
        <v>0</v>
      </c>
      <c r="D1248" s="285">
        <f t="shared" si="252"/>
        <v>0</v>
      </c>
      <c r="E1248" s="285">
        <f t="shared" si="264"/>
        <v>0</v>
      </c>
      <c r="F1248" s="285">
        <f t="shared" si="264"/>
        <v>0</v>
      </c>
      <c r="G1248" s="285">
        <f t="shared" si="264"/>
        <v>0</v>
      </c>
      <c r="H1248" s="285">
        <f t="shared" si="264"/>
        <v>0</v>
      </c>
      <c r="I1248" s="285">
        <f t="shared" si="264"/>
        <v>0</v>
      </c>
      <c r="J1248" s="324">
        <f t="shared" si="262"/>
        <v>0</v>
      </c>
      <c r="K1248" s="294" t="s">
        <v>3555</v>
      </c>
      <c r="L1248" s="44">
        <v>1</v>
      </c>
      <c r="M1248" s="308" t="s">
        <v>3411</v>
      </c>
      <c r="N1248" s="308"/>
      <c r="O1248" s="308" t="s">
        <v>842</v>
      </c>
      <c r="P1248" s="309" t="s">
        <v>4470</v>
      </c>
    </row>
    <row r="1249" s="106" customFormat="1" ht="20.1" customHeight="1" spans="1:16">
      <c r="A1249" s="279" t="s">
        <v>3420</v>
      </c>
      <c r="B1249" s="41" t="s">
        <v>3421</v>
      </c>
      <c r="C1249" s="287">
        <v>0</v>
      </c>
      <c r="D1249" s="288">
        <f t="shared" si="252"/>
        <v>0</v>
      </c>
      <c r="E1249" s="287"/>
      <c r="F1249" s="287"/>
      <c r="G1249" s="287"/>
      <c r="H1249" s="287"/>
      <c r="I1249" s="302"/>
      <c r="J1249" s="303">
        <f t="shared" si="262"/>
        <v>0</v>
      </c>
      <c r="K1249" s="294" t="s">
        <v>3555</v>
      </c>
      <c r="L1249" s="44">
        <v>1</v>
      </c>
      <c r="M1249" s="308" t="s">
        <v>3413</v>
      </c>
      <c r="N1249" s="308"/>
      <c r="O1249" s="308" t="s">
        <v>842</v>
      </c>
      <c r="P1249" s="309" t="s">
        <v>4471</v>
      </c>
    </row>
    <row r="1250" s="106" customFormat="1" ht="20.1" customHeight="1" spans="1:16">
      <c r="A1250" s="279" t="s">
        <v>3422</v>
      </c>
      <c r="B1250" s="41" t="s">
        <v>3423</v>
      </c>
      <c r="C1250" s="287">
        <v>0</v>
      </c>
      <c r="D1250" s="288">
        <f t="shared" si="252"/>
        <v>0</v>
      </c>
      <c r="E1250" s="287"/>
      <c r="F1250" s="287"/>
      <c r="G1250" s="287"/>
      <c r="H1250" s="287"/>
      <c r="I1250" s="302"/>
      <c r="J1250" s="303">
        <f t="shared" si="262"/>
        <v>0</v>
      </c>
      <c r="K1250" s="294" t="s">
        <v>3555</v>
      </c>
      <c r="L1250" s="44">
        <v>1</v>
      </c>
      <c r="M1250" s="308" t="s">
        <v>3415</v>
      </c>
      <c r="N1250" s="308"/>
      <c r="O1250" s="308" t="s">
        <v>842</v>
      </c>
      <c r="P1250" s="309" t="s">
        <v>4472</v>
      </c>
    </row>
    <row r="1251" s="106" customFormat="1" ht="20.1" customHeight="1" spans="1:16">
      <c r="A1251" s="279" t="s">
        <v>3424</v>
      </c>
      <c r="B1251" s="41" t="s">
        <v>3425</v>
      </c>
      <c r="C1251" s="287">
        <v>0</v>
      </c>
      <c r="D1251" s="288">
        <f t="shared" si="252"/>
        <v>0</v>
      </c>
      <c r="E1251" s="287"/>
      <c r="F1251" s="287"/>
      <c r="G1251" s="287"/>
      <c r="H1251" s="287"/>
      <c r="I1251" s="302"/>
      <c r="J1251" s="303">
        <f t="shared" si="262"/>
        <v>0</v>
      </c>
      <c r="K1251" s="294" t="s">
        <v>3555</v>
      </c>
      <c r="L1251" s="44">
        <v>1</v>
      </c>
      <c r="M1251" s="308" t="s">
        <v>3417</v>
      </c>
      <c r="N1251" s="308"/>
      <c r="O1251" s="308" t="s">
        <v>842</v>
      </c>
      <c r="P1251" s="309" t="s">
        <v>4473</v>
      </c>
    </row>
    <row r="1252" s="107" customFormat="1" ht="20.1" customHeight="1" spans="1:16">
      <c r="A1252" s="279" t="s">
        <v>3426</v>
      </c>
      <c r="B1252" s="41" t="s">
        <v>3427</v>
      </c>
      <c r="C1252" s="287">
        <v>0</v>
      </c>
      <c r="D1252" s="288">
        <f t="shared" si="252"/>
        <v>0</v>
      </c>
      <c r="E1252" s="287"/>
      <c r="F1252" s="287"/>
      <c r="G1252" s="287"/>
      <c r="H1252" s="287"/>
      <c r="I1252" s="302"/>
      <c r="J1252" s="303">
        <f t="shared" si="262"/>
        <v>0</v>
      </c>
      <c r="K1252" s="300" t="s">
        <v>3551</v>
      </c>
      <c r="L1252" s="301"/>
      <c r="M1252" s="312" t="s">
        <v>844</v>
      </c>
      <c r="N1252" s="312" t="s">
        <v>836</v>
      </c>
      <c r="O1252" s="312" t="s">
        <v>844</v>
      </c>
      <c r="P1252" s="313" t="s">
        <v>4474</v>
      </c>
    </row>
    <row r="1253" s="106" customFormat="1" ht="20.1" customHeight="1" spans="1:16">
      <c r="A1253" s="279" t="s">
        <v>3428</v>
      </c>
      <c r="B1253" s="41" t="s">
        <v>3429</v>
      </c>
      <c r="C1253" s="287">
        <v>0</v>
      </c>
      <c r="D1253" s="288">
        <f t="shared" si="252"/>
        <v>0</v>
      </c>
      <c r="E1253" s="287"/>
      <c r="F1253" s="287"/>
      <c r="G1253" s="287"/>
      <c r="H1253" s="287"/>
      <c r="I1253" s="302"/>
      <c r="J1253" s="303">
        <f t="shared" si="262"/>
        <v>0</v>
      </c>
      <c r="K1253" s="294" t="s">
        <v>3555</v>
      </c>
      <c r="L1253" s="44">
        <v>1</v>
      </c>
      <c r="M1253" s="308" t="s">
        <v>3420</v>
      </c>
      <c r="N1253" s="308"/>
      <c r="O1253" s="308" t="s">
        <v>844</v>
      </c>
      <c r="P1253" s="309" t="s">
        <v>4475</v>
      </c>
    </row>
    <row r="1254" s="106" customFormat="1" ht="20.1" customHeight="1" spans="1:16">
      <c r="A1254" s="279" t="s">
        <v>3430</v>
      </c>
      <c r="B1254" s="41" t="s">
        <v>3431</v>
      </c>
      <c r="C1254" s="287">
        <v>0</v>
      </c>
      <c r="D1254" s="288">
        <f t="shared" si="252"/>
        <v>0</v>
      </c>
      <c r="E1254" s="287"/>
      <c r="F1254" s="287"/>
      <c r="G1254" s="287"/>
      <c r="H1254" s="287"/>
      <c r="I1254" s="302"/>
      <c r="J1254" s="303">
        <f t="shared" si="262"/>
        <v>0</v>
      </c>
      <c r="K1254" s="294" t="s">
        <v>3555</v>
      </c>
      <c r="L1254" s="44">
        <v>1</v>
      </c>
      <c r="M1254" s="308" t="s">
        <v>3422</v>
      </c>
      <c r="N1254" s="308"/>
      <c r="O1254" s="308" t="s">
        <v>844</v>
      </c>
      <c r="P1254" s="309" t="s">
        <v>4476</v>
      </c>
    </row>
    <row r="1255" s="106" customFormat="1" ht="20.1" customHeight="1" spans="1:16">
      <c r="A1255" s="279" t="s">
        <v>3432</v>
      </c>
      <c r="B1255" s="41" t="s">
        <v>3433</v>
      </c>
      <c r="C1255" s="287">
        <v>0</v>
      </c>
      <c r="D1255" s="288">
        <f t="shared" si="252"/>
        <v>0</v>
      </c>
      <c r="E1255" s="287"/>
      <c r="F1255" s="287"/>
      <c r="G1255" s="287"/>
      <c r="H1255" s="287"/>
      <c r="I1255" s="302"/>
      <c r="J1255" s="303">
        <f t="shared" si="262"/>
        <v>0</v>
      </c>
      <c r="K1255" s="294" t="s">
        <v>3555</v>
      </c>
      <c r="L1255" s="44">
        <v>1</v>
      </c>
      <c r="M1255" s="308" t="s">
        <v>3424</v>
      </c>
      <c r="N1255" s="308"/>
      <c r="O1255" s="308" t="s">
        <v>844</v>
      </c>
      <c r="P1255" s="309" t="s">
        <v>4477</v>
      </c>
    </row>
    <row r="1256" s="106" customFormat="1" ht="20.1" customHeight="1" spans="1:16">
      <c r="A1256" s="279" t="s">
        <v>3434</v>
      </c>
      <c r="B1256" s="41" t="s">
        <v>3435</v>
      </c>
      <c r="C1256" s="287">
        <v>0</v>
      </c>
      <c r="D1256" s="288">
        <f t="shared" si="252"/>
        <v>0</v>
      </c>
      <c r="E1256" s="287"/>
      <c r="F1256" s="287"/>
      <c r="G1256" s="287"/>
      <c r="H1256" s="287"/>
      <c r="I1256" s="302"/>
      <c r="J1256" s="303">
        <f t="shared" si="262"/>
        <v>0</v>
      </c>
      <c r="K1256" s="294" t="s">
        <v>3555</v>
      </c>
      <c r="L1256" s="44">
        <v>1</v>
      </c>
      <c r="M1256" s="308" t="s">
        <v>3426</v>
      </c>
      <c r="N1256" s="308"/>
      <c r="O1256" s="308" t="s">
        <v>844</v>
      </c>
      <c r="P1256" s="309" t="s">
        <v>4478</v>
      </c>
    </row>
    <row r="1257" s="106" customFormat="1" ht="20.1" customHeight="1" spans="1:16">
      <c r="A1257" s="279" t="s">
        <v>3436</v>
      </c>
      <c r="B1257" s="41" t="s">
        <v>3437</v>
      </c>
      <c r="C1257" s="287">
        <v>0</v>
      </c>
      <c r="D1257" s="288">
        <f t="shared" si="252"/>
        <v>0</v>
      </c>
      <c r="E1257" s="287"/>
      <c r="F1257" s="287"/>
      <c r="G1257" s="287"/>
      <c r="H1257" s="287"/>
      <c r="I1257" s="302"/>
      <c r="J1257" s="303">
        <f t="shared" si="262"/>
        <v>0</v>
      </c>
      <c r="K1257" s="294" t="s">
        <v>3555</v>
      </c>
      <c r="L1257" s="44">
        <v>1</v>
      </c>
      <c r="M1257" s="308" t="s">
        <v>3428</v>
      </c>
      <c r="N1257" s="308"/>
      <c r="O1257" s="308" t="s">
        <v>844</v>
      </c>
      <c r="P1257" s="309" t="s">
        <v>4479</v>
      </c>
    </row>
    <row r="1258" s="106" customFormat="1" ht="20.1" customHeight="1" spans="1:16">
      <c r="A1258" s="279" t="s">
        <v>3438</v>
      </c>
      <c r="B1258" s="41" t="s">
        <v>3439</v>
      </c>
      <c r="C1258" s="287">
        <v>0</v>
      </c>
      <c r="D1258" s="288">
        <f t="shared" si="252"/>
        <v>0</v>
      </c>
      <c r="E1258" s="287"/>
      <c r="F1258" s="287"/>
      <c r="G1258" s="287"/>
      <c r="H1258" s="287"/>
      <c r="I1258" s="302"/>
      <c r="J1258" s="303">
        <f t="shared" si="262"/>
        <v>0</v>
      </c>
      <c r="K1258" s="294" t="s">
        <v>3555</v>
      </c>
      <c r="L1258" s="44">
        <v>1</v>
      </c>
      <c r="M1258" s="308" t="s">
        <v>3430</v>
      </c>
      <c r="N1258" s="308"/>
      <c r="O1258" s="308" t="s">
        <v>844</v>
      </c>
      <c r="P1258" s="309" t="s">
        <v>4480</v>
      </c>
    </row>
    <row r="1259" s="106" customFormat="1" ht="20.1" customHeight="1" spans="1:16">
      <c r="A1259" s="279" t="s">
        <v>3319</v>
      </c>
      <c r="B1259" s="41" t="s">
        <v>3440</v>
      </c>
      <c r="C1259" s="287"/>
      <c r="D1259" s="288"/>
      <c r="E1259" s="287"/>
      <c r="F1259" s="287"/>
      <c r="G1259" s="287"/>
      <c r="H1259" s="287"/>
      <c r="I1259" s="302"/>
      <c r="J1259" s="303"/>
      <c r="K1259" s="294" t="s">
        <v>3555</v>
      </c>
      <c r="L1259" s="44">
        <v>1</v>
      </c>
      <c r="M1259" s="308" t="s">
        <v>3432</v>
      </c>
      <c r="N1259" s="308"/>
      <c r="O1259" s="308" t="s">
        <v>844</v>
      </c>
      <c r="P1259" s="309" t="s">
        <v>4481</v>
      </c>
    </row>
    <row r="1260" s="106" customFormat="1" ht="20.1" customHeight="1" spans="1:16">
      <c r="A1260" s="279" t="s">
        <v>3441</v>
      </c>
      <c r="B1260" s="41" t="s">
        <v>3442</v>
      </c>
      <c r="C1260" s="287">
        <v>0</v>
      </c>
      <c r="D1260" s="288">
        <f t="shared" ref="D1260:D1315" si="265">SUM(E1260:I1260)</f>
        <v>0</v>
      </c>
      <c r="E1260" s="287"/>
      <c r="F1260" s="287"/>
      <c r="G1260" s="287"/>
      <c r="H1260" s="287"/>
      <c r="I1260" s="302"/>
      <c r="J1260" s="303">
        <f t="shared" ref="J1260:J1277" si="266">ROUND(IF(C1260=0,IF(D1260=0,0,1),IF(D1260=0,-1,D1260/C1260)),4)*100</f>
        <v>0</v>
      </c>
      <c r="K1260" s="294" t="s">
        <v>3555</v>
      </c>
      <c r="L1260" s="44">
        <v>1</v>
      </c>
      <c r="M1260" s="308" t="s">
        <v>3434</v>
      </c>
      <c r="N1260" s="308"/>
      <c r="O1260" s="308" t="s">
        <v>844</v>
      </c>
      <c r="P1260" s="309" t="s">
        <v>4482</v>
      </c>
    </row>
    <row r="1261" s="106" customFormat="1" ht="20.1" customHeight="1" spans="1:16">
      <c r="A1261" s="280" t="s">
        <v>846</v>
      </c>
      <c r="B1261" s="281" t="s">
        <v>459</v>
      </c>
      <c r="C1261" s="282">
        <f t="shared" ref="C1261:I1261" si="267">C1262+C1273+C1280+C1288+C1301+C1305+C1309</f>
        <v>2480</v>
      </c>
      <c r="D1261" s="282">
        <f t="shared" si="265"/>
        <v>4357</v>
      </c>
      <c r="E1261" s="282">
        <f t="shared" si="267"/>
        <v>150</v>
      </c>
      <c r="F1261" s="282">
        <f t="shared" si="267"/>
        <v>1539</v>
      </c>
      <c r="G1261" s="282">
        <f t="shared" si="267"/>
        <v>1107</v>
      </c>
      <c r="H1261" s="282">
        <f t="shared" si="267"/>
        <v>0</v>
      </c>
      <c r="I1261" s="282">
        <f t="shared" si="267"/>
        <v>1561</v>
      </c>
      <c r="J1261" s="296">
        <f t="shared" si="266"/>
        <v>175.69</v>
      </c>
      <c r="K1261" s="294" t="s">
        <v>3555</v>
      </c>
      <c r="L1261" s="44">
        <v>1</v>
      </c>
      <c r="M1261" s="308" t="s">
        <v>3436</v>
      </c>
      <c r="N1261" s="308"/>
      <c r="O1261" s="308" t="s">
        <v>844</v>
      </c>
      <c r="P1261" s="309" t="s">
        <v>4483</v>
      </c>
    </row>
    <row r="1262" s="106" customFormat="1" ht="20.1" customHeight="1" spans="1:16">
      <c r="A1262" s="283" t="s">
        <v>847</v>
      </c>
      <c r="B1262" s="323" t="s">
        <v>3443</v>
      </c>
      <c r="C1262" s="285">
        <f t="shared" ref="C1262:I1262" si="268">SUM(C1263:C1272)</f>
        <v>474</v>
      </c>
      <c r="D1262" s="285">
        <f t="shared" si="265"/>
        <v>749</v>
      </c>
      <c r="E1262" s="285">
        <f t="shared" si="268"/>
        <v>0</v>
      </c>
      <c r="F1262" s="285">
        <f t="shared" si="268"/>
        <v>300</v>
      </c>
      <c r="G1262" s="285">
        <f t="shared" si="268"/>
        <v>25</v>
      </c>
      <c r="H1262" s="285">
        <f t="shared" si="268"/>
        <v>0</v>
      </c>
      <c r="I1262" s="285">
        <f t="shared" si="268"/>
        <v>424</v>
      </c>
      <c r="J1262" s="324">
        <f t="shared" si="266"/>
        <v>158.02</v>
      </c>
      <c r="K1262" s="294" t="s">
        <v>3555</v>
      </c>
      <c r="L1262" s="44">
        <v>1</v>
      </c>
      <c r="M1262" s="308" t="s">
        <v>3438</v>
      </c>
      <c r="N1262" s="308"/>
      <c r="O1262" s="308" t="s">
        <v>844</v>
      </c>
      <c r="P1262" s="309" t="s">
        <v>4484</v>
      </c>
    </row>
    <row r="1263" s="106" customFormat="1" ht="20.1" customHeight="1" spans="1:16">
      <c r="A1263" s="357" t="s">
        <v>3444</v>
      </c>
      <c r="B1263" s="41" t="s">
        <v>1458</v>
      </c>
      <c r="C1263" s="353">
        <v>349</v>
      </c>
      <c r="D1263" s="288">
        <f t="shared" si="265"/>
        <v>322</v>
      </c>
      <c r="E1263" s="287"/>
      <c r="F1263" s="287"/>
      <c r="G1263" s="287"/>
      <c r="H1263" s="287"/>
      <c r="I1263" s="302">
        <v>322</v>
      </c>
      <c r="J1263" s="303">
        <f t="shared" si="266"/>
        <v>92.26</v>
      </c>
      <c r="K1263" s="294" t="s">
        <v>3555</v>
      </c>
      <c r="L1263" s="44">
        <v>1</v>
      </c>
      <c r="M1263" s="308" t="s">
        <v>4485</v>
      </c>
      <c r="N1263" s="308"/>
      <c r="O1263" s="308" t="s">
        <v>844</v>
      </c>
      <c r="P1263" s="309" t="s">
        <v>4486</v>
      </c>
    </row>
    <row r="1264" s="106" customFormat="1" ht="20.1" customHeight="1" spans="1:16">
      <c r="A1264" s="357" t="s">
        <v>3445</v>
      </c>
      <c r="B1264" s="41" t="s">
        <v>1460</v>
      </c>
      <c r="C1264" s="353">
        <v>85</v>
      </c>
      <c r="D1264" s="288">
        <f t="shared" si="265"/>
        <v>80</v>
      </c>
      <c r="E1264" s="287"/>
      <c r="F1264" s="287"/>
      <c r="G1264" s="287"/>
      <c r="H1264" s="287"/>
      <c r="I1264" s="302">
        <v>80</v>
      </c>
      <c r="J1264" s="303">
        <f t="shared" si="266"/>
        <v>94.12</v>
      </c>
      <c r="K1264" s="294" t="s">
        <v>3555</v>
      </c>
      <c r="L1264" s="44">
        <v>1</v>
      </c>
      <c r="M1264" s="308" t="s">
        <v>3441</v>
      </c>
      <c r="N1264" s="308"/>
      <c r="O1264" s="308" t="s">
        <v>844</v>
      </c>
      <c r="P1264" s="309" t="s">
        <v>4487</v>
      </c>
    </row>
    <row r="1265" s="107" customFormat="1" ht="20.1" customHeight="1" spans="1:16">
      <c r="A1265" s="357" t="s">
        <v>3446</v>
      </c>
      <c r="B1265" s="41" t="s">
        <v>1462</v>
      </c>
      <c r="C1265" s="353"/>
      <c r="D1265" s="288">
        <f t="shared" si="265"/>
        <v>0</v>
      </c>
      <c r="E1265" s="287"/>
      <c r="F1265" s="287"/>
      <c r="G1265" s="287"/>
      <c r="H1265" s="287"/>
      <c r="I1265" s="302"/>
      <c r="J1265" s="303">
        <f t="shared" si="266"/>
        <v>0</v>
      </c>
      <c r="K1265" s="297" t="s">
        <v>3550</v>
      </c>
      <c r="L1265" s="298"/>
      <c r="M1265" s="310" t="s">
        <v>846</v>
      </c>
      <c r="N1265" s="310" t="s">
        <v>846</v>
      </c>
      <c r="O1265" s="310" t="s">
        <v>846</v>
      </c>
      <c r="P1265" s="311" t="s">
        <v>4488</v>
      </c>
    </row>
    <row r="1266" s="107" customFormat="1" ht="20.1" customHeight="1" spans="1:16">
      <c r="A1266" s="357" t="s">
        <v>3447</v>
      </c>
      <c r="B1266" s="41" t="s">
        <v>3448</v>
      </c>
      <c r="C1266" s="353"/>
      <c r="D1266" s="288">
        <f t="shared" si="265"/>
        <v>0</v>
      </c>
      <c r="E1266" s="287"/>
      <c r="F1266" s="287"/>
      <c r="G1266" s="287"/>
      <c r="H1266" s="287"/>
      <c r="I1266" s="302"/>
      <c r="J1266" s="303">
        <f t="shared" si="266"/>
        <v>0</v>
      </c>
      <c r="K1266" s="300" t="s">
        <v>3551</v>
      </c>
      <c r="L1266" s="301"/>
      <c r="M1266" s="312" t="s">
        <v>847</v>
      </c>
      <c r="N1266" s="312" t="s">
        <v>846</v>
      </c>
      <c r="O1266" s="312" t="s">
        <v>847</v>
      </c>
      <c r="P1266" s="313" t="s">
        <v>4489</v>
      </c>
    </row>
    <row r="1267" s="106" customFormat="1" ht="20.1" customHeight="1" spans="1:16">
      <c r="A1267" s="357" t="s">
        <v>3449</v>
      </c>
      <c r="B1267" s="41" t="s">
        <v>3450</v>
      </c>
      <c r="C1267" s="353"/>
      <c r="D1267" s="288">
        <f t="shared" si="265"/>
        <v>0</v>
      </c>
      <c r="E1267" s="287"/>
      <c r="F1267" s="287"/>
      <c r="G1267" s="287"/>
      <c r="H1267" s="287"/>
      <c r="I1267" s="302"/>
      <c r="J1267" s="303">
        <f t="shared" si="266"/>
        <v>0</v>
      </c>
      <c r="K1267" s="294" t="s">
        <v>3555</v>
      </c>
      <c r="L1267" s="44">
        <v>1</v>
      </c>
      <c r="M1267" s="358" t="s">
        <v>3444</v>
      </c>
      <c r="N1267" s="308"/>
      <c r="O1267" s="358" t="s">
        <v>847</v>
      </c>
      <c r="P1267" s="314" t="s">
        <v>3556</v>
      </c>
    </row>
    <row r="1268" s="106" customFormat="1" ht="20.1" customHeight="1" spans="1:16">
      <c r="A1268" s="357" t="s">
        <v>3451</v>
      </c>
      <c r="B1268" s="41" t="s">
        <v>3452</v>
      </c>
      <c r="C1268" s="353">
        <v>10</v>
      </c>
      <c r="D1268" s="288">
        <f t="shared" si="265"/>
        <v>0</v>
      </c>
      <c r="E1268" s="287"/>
      <c r="F1268" s="287"/>
      <c r="G1268" s="287"/>
      <c r="H1268" s="287"/>
      <c r="I1268" s="302"/>
      <c r="J1268" s="303">
        <f t="shared" si="266"/>
        <v>-100</v>
      </c>
      <c r="K1268" s="294" t="s">
        <v>3555</v>
      </c>
      <c r="L1268" s="44">
        <v>1</v>
      </c>
      <c r="M1268" s="358" t="s">
        <v>3445</v>
      </c>
      <c r="N1268" s="308"/>
      <c r="O1268" s="358" t="s">
        <v>847</v>
      </c>
      <c r="P1268" s="314" t="s">
        <v>3557</v>
      </c>
    </row>
    <row r="1269" s="106" customFormat="1" ht="20.1" customHeight="1" spans="1:16">
      <c r="A1269" s="357" t="s">
        <v>3453</v>
      </c>
      <c r="B1269" s="41" t="s">
        <v>3454</v>
      </c>
      <c r="C1269" s="353"/>
      <c r="D1269" s="288">
        <f t="shared" si="265"/>
        <v>0</v>
      </c>
      <c r="E1269" s="287"/>
      <c r="F1269" s="287"/>
      <c r="G1269" s="287"/>
      <c r="H1269" s="287"/>
      <c r="I1269" s="302"/>
      <c r="J1269" s="303">
        <f t="shared" si="266"/>
        <v>0</v>
      </c>
      <c r="K1269" s="294" t="s">
        <v>3555</v>
      </c>
      <c r="L1269" s="44">
        <v>1</v>
      </c>
      <c r="M1269" s="358" t="s">
        <v>3446</v>
      </c>
      <c r="N1269" s="308"/>
      <c r="O1269" s="358" t="s">
        <v>847</v>
      </c>
      <c r="P1269" s="314" t="s">
        <v>3558</v>
      </c>
    </row>
    <row r="1270" s="106" customFormat="1" ht="20.1" customHeight="1" spans="1:16">
      <c r="A1270" s="357" t="s">
        <v>3455</v>
      </c>
      <c r="B1270" s="41" t="s">
        <v>3456</v>
      </c>
      <c r="C1270" s="353">
        <v>4</v>
      </c>
      <c r="D1270" s="288">
        <f t="shared" si="265"/>
        <v>11</v>
      </c>
      <c r="E1270" s="287"/>
      <c r="F1270" s="287"/>
      <c r="G1270" s="287"/>
      <c r="H1270" s="287"/>
      <c r="I1270" s="302">
        <v>11</v>
      </c>
      <c r="J1270" s="303">
        <f t="shared" si="266"/>
        <v>275</v>
      </c>
      <c r="K1270" s="294" t="s">
        <v>3555</v>
      </c>
      <c r="L1270" s="44">
        <v>1</v>
      </c>
      <c r="M1270" s="358" t="s">
        <v>3447</v>
      </c>
      <c r="N1270" s="308"/>
      <c r="O1270" s="358" t="s">
        <v>847</v>
      </c>
      <c r="P1270" s="314" t="s">
        <v>4490</v>
      </c>
    </row>
    <row r="1271" s="106" customFormat="1" ht="20.1" customHeight="1" spans="1:16">
      <c r="A1271" s="357" t="s">
        <v>3457</v>
      </c>
      <c r="B1271" s="41" t="s">
        <v>1476</v>
      </c>
      <c r="C1271" s="353">
        <v>4</v>
      </c>
      <c r="D1271" s="288">
        <f t="shared" si="265"/>
        <v>7</v>
      </c>
      <c r="E1271" s="287"/>
      <c r="F1271" s="287"/>
      <c r="G1271" s="287"/>
      <c r="H1271" s="287"/>
      <c r="I1271" s="302">
        <v>7</v>
      </c>
      <c r="J1271" s="303">
        <f t="shared" si="266"/>
        <v>175</v>
      </c>
      <c r="K1271" s="294" t="s">
        <v>3555</v>
      </c>
      <c r="L1271" s="44">
        <v>1</v>
      </c>
      <c r="M1271" s="358" t="s">
        <v>3449</v>
      </c>
      <c r="N1271" s="308"/>
      <c r="O1271" s="358" t="s">
        <v>847</v>
      </c>
      <c r="P1271" s="314" t="s">
        <v>4491</v>
      </c>
    </row>
    <row r="1272" s="106" customFormat="1" ht="20.1" customHeight="1" spans="1:16">
      <c r="A1272" s="357" t="s">
        <v>3458</v>
      </c>
      <c r="B1272" s="41" t="s">
        <v>3459</v>
      </c>
      <c r="C1272" s="353">
        <v>22</v>
      </c>
      <c r="D1272" s="288">
        <f t="shared" si="265"/>
        <v>329</v>
      </c>
      <c r="E1272" s="287"/>
      <c r="F1272" s="287">
        <v>300</v>
      </c>
      <c r="G1272" s="287">
        <v>25</v>
      </c>
      <c r="H1272" s="287"/>
      <c r="I1272" s="302">
        <v>4</v>
      </c>
      <c r="J1272" s="303">
        <f t="shared" si="266"/>
        <v>1495.45</v>
      </c>
      <c r="K1272" s="294" t="s">
        <v>3555</v>
      </c>
      <c r="L1272" s="44">
        <v>1</v>
      </c>
      <c r="M1272" s="358" t="s">
        <v>3451</v>
      </c>
      <c r="N1272" s="308"/>
      <c r="O1272" s="358" t="s">
        <v>847</v>
      </c>
      <c r="P1272" s="314" t="s">
        <v>4492</v>
      </c>
    </row>
    <row r="1273" s="106" customFormat="1" ht="20.1" customHeight="1" spans="1:16">
      <c r="A1273" s="283" t="s">
        <v>848</v>
      </c>
      <c r="B1273" s="323" t="s">
        <v>3460</v>
      </c>
      <c r="C1273" s="285">
        <f t="shared" ref="C1273:I1273" si="269">SUM(C1274:C1279)</f>
        <v>961</v>
      </c>
      <c r="D1273" s="285">
        <f t="shared" si="265"/>
        <v>1287</v>
      </c>
      <c r="E1273" s="285">
        <f t="shared" si="269"/>
        <v>150</v>
      </c>
      <c r="F1273" s="285">
        <f t="shared" si="269"/>
        <v>0</v>
      </c>
      <c r="G1273" s="285">
        <f t="shared" si="269"/>
        <v>0</v>
      </c>
      <c r="H1273" s="285">
        <f t="shared" si="269"/>
        <v>0</v>
      </c>
      <c r="I1273" s="285">
        <f t="shared" si="269"/>
        <v>1137</v>
      </c>
      <c r="J1273" s="324">
        <f t="shared" si="266"/>
        <v>133.92</v>
      </c>
      <c r="K1273" s="294" t="s">
        <v>3555</v>
      </c>
      <c r="L1273" s="44">
        <v>1</v>
      </c>
      <c r="M1273" s="358" t="s">
        <v>3453</v>
      </c>
      <c r="N1273" s="308"/>
      <c r="O1273" s="358" t="s">
        <v>847</v>
      </c>
      <c r="P1273" s="314" t="s">
        <v>4493</v>
      </c>
    </row>
    <row r="1274" s="106" customFormat="1" ht="20.1" customHeight="1" spans="1:16">
      <c r="A1274" s="357" t="s">
        <v>3461</v>
      </c>
      <c r="B1274" s="41" t="s">
        <v>1458</v>
      </c>
      <c r="C1274" s="287">
        <v>40</v>
      </c>
      <c r="D1274" s="288">
        <f t="shared" si="265"/>
        <v>0</v>
      </c>
      <c r="E1274" s="287"/>
      <c r="F1274" s="287"/>
      <c r="G1274" s="287"/>
      <c r="H1274" s="287"/>
      <c r="I1274" s="302"/>
      <c r="J1274" s="303">
        <f t="shared" si="266"/>
        <v>-100</v>
      </c>
      <c r="K1274" s="294" t="s">
        <v>3555</v>
      </c>
      <c r="L1274" s="44">
        <v>1</v>
      </c>
      <c r="M1274" s="358" t="s">
        <v>3455</v>
      </c>
      <c r="N1274" s="308"/>
      <c r="O1274" s="358" t="s">
        <v>847</v>
      </c>
      <c r="P1274" s="314" t="s">
        <v>4494</v>
      </c>
    </row>
    <row r="1275" s="106" customFormat="1" ht="20.1" customHeight="1" spans="1:16">
      <c r="A1275" s="357" t="s">
        <v>3462</v>
      </c>
      <c r="B1275" s="41" t="s">
        <v>1460</v>
      </c>
      <c r="C1275" s="287"/>
      <c r="D1275" s="288">
        <f t="shared" si="265"/>
        <v>0</v>
      </c>
      <c r="E1275" s="287"/>
      <c r="F1275" s="287"/>
      <c r="G1275" s="287"/>
      <c r="H1275" s="287"/>
      <c r="I1275" s="302"/>
      <c r="J1275" s="303">
        <f t="shared" si="266"/>
        <v>0</v>
      </c>
      <c r="K1275" s="294" t="s">
        <v>3555</v>
      </c>
      <c r="L1275" s="44">
        <v>1</v>
      </c>
      <c r="M1275" s="358" t="s">
        <v>3457</v>
      </c>
      <c r="N1275" s="308"/>
      <c r="O1275" s="358" t="s">
        <v>847</v>
      </c>
      <c r="P1275" s="314" t="s">
        <v>3565</v>
      </c>
    </row>
    <row r="1276" s="106" customFormat="1" ht="20.1" customHeight="1" spans="1:16">
      <c r="A1276" s="357" t="s">
        <v>3463</v>
      </c>
      <c r="B1276" s="41" t="s">
        <v>1462</v>
      </c>
      <c r="C1276" s="287"/>
      <c r="D1276" s="288">
        <f t="shared" si="265"/>
        <v>0</v>
      </c>
      <c r="E1276" s="287"/>
      <c r="F1276" s="287"/>
      <c r="G1276" s="287"/>
      <c r="H1276" s="287"/>
      <c r="I1276" s="302"/>
      <c r="J1276" s="303">
        <f t="shared" si="266"/>
        <v>0</v>
      </c>
      <c r="K1276" s="294" t="s">
        <v>3555</v>
      </c>
      <c r="L1276" s="44">
        <v>1</v>
      </c>
      <c r="M1276" s="358" t="s">
        <v>3458</v>
      </c>
      <c r="N1276" s="308"/>
      <c r="O1276" s="358" t="s">
        <v>847</v>
      </c>
      <c r="P1276" s="314" t="s">
        <v>4495</v>
      </c>
    </row>
    <row r="1277" s="107" customFormat="1" ht="20.1" customHeight="1" spans="1:16">
      <c r="A1277" s="357" t="s">
        <v>3464</v>
      </c>
      <c r="B1277" s="41" t="s">
        <v>3465</v>
      </c>
      <c r="C1277" s="287">
        <v>921</v>
      </c>
      <c r="D1277" s="288">
        <f t="shared" si="265"/>
        <v>1287</v>
      </c>
      <c r="E1277" s="287">
        <v>150</v>
      </c>
      <c r="F1277" s="287"/>
      <c r="G1277" s="287"/>
      <c r="H1277" s="287"/>
      <c r="I1277" s="302">
        <v>1137</v>
      </c>
      <c r="J1277" s="303">
        <f t="shared" si="266"/>
        <v>139.74</v>
      </c>
      <c r="K1277" s="300" t="s">
        <v>3551</v>
      </c>
      <c r="L1277" s="301"/>
      <c r="M1277" s="312" t="s">
        <v>848</v>
      </c>
      <c r="N1277" s="312" t="s">
        <v>846</v>
      </c>
      <c r="O1277" s="312" t="s">
        <v>848</v>
      </c>
      <c r="P1277" s="313" t="s">
        <v>4496</v>
      </c>
    </row>
    <row r="1278" s="106" customFormat="1" ht="20.1" customHeight="1" spans="1:16">
      <c r="A1278" s="357" t="s">
        <v>3466</v>
      </c>
      <c r="B1278" s="41" t="s">
        <v>1476</v>
      </c>
      <c r="C1278" s="287"/>
      <c r="D1278" s="288">
        <f t="shared" si="265"/>
        <v>0</v>
      </c>
      <c r="E1278" s="287"/>
      <c r="F1278" s="287"/>
      <c r="G1278" s="287"/>
      <c r="H1278" s="287"/>
      <c r="I1278" s="302"/>
      <c r="J1278" s="303"/>
      <c r="K1278" s="294" t="s">
        <v>3555</v>
      </c>
      <c r="L1278" s="44">
        <v>1</v>
      </c>
      <c r="M1278" s="358" t="s">
        <v>3461</v>
      </c>
      <c r="N1278" s="308"/>
      <c r="O1278" s="358" t="s">
        <v>848</v>
      </c>
      <c r="P1278" s="314" t="s">
        <v>3556</v>
      </c>
    </row>
    <row r="1279" s="106" customFormat="1" ht="20.1" customHeight="1" spans="1:16">
      <c r="A1279" s="357" t="s">
        <v>3467</v>
      </c>
      <c r="B1279" s="41" t="s">
        <v>3468</v>
      </c>
      <c r="C1279" s="287"/>
      <c r="D1279" s="288">
        <f t="shared" si="265"/>
        <v>0</v>
      </c>
      <c r="E1279" s="287"/>
      <c r="F1279" s="287"/>
      <c r="G1279" s="287"/>
      <c r="H1279" s="287"/>
      <c r="I1279" s="302"/>
      <c r="J1279" s="303">
        <f t="shared" ref="J1279:J1309" si="270">ROUND(IF(C1279=0,IF(D1279=0,0,1),IF(D1279=0,-1,D1279/C1279)),4)*100</f>
        <v>0</v>
      </c>
      <c r="K1279" s="294" t="s">
        <v>3555</v>
      </c>
      <c r="L1279" s="44">
        <v>1</v>
      </c>
      <c r="M1279" s="358" t="s">
        <v>3462</v>
      </c>
      <c r="N1279" s="308"/>
      <c r="O1279" s="358" t="s">
        <v>848</v>
      </c>
      <c r="P1279" s="314" t="s">
        <v>3557</v>
      </c>
    </row>
    <row r="1280" s="106" customFormat="1" ht="20.1" customHeight="1" spans="1:16">
      <c r="A1280" s="283" t="s">
        <v>849</v>
      </c>
      <c r="B1280" s="323" t="s">
        <v>3469</v>
      </c>
      <c r="C1280" s="285">
        <f t="shared" ref="C1280:I1280" si="271">SUM(C1281:C1287)</f>
        <v>0</v>
      </c>
      <c r="D1280" s="285">
        <f t="shared" si="265"/>
        <v>0</v>
      </c>
      <c r="E1280" s="285">
        <f t="shared" si="271"/>
        <v>0</v>
      </c>
      <c r="F1280" s="285">
        <f t="shared" si="271"/>
        <v>0</v>
      </c>
      <c r="G1280" s="285">
        <f t="shared" si="271"/>
        <v>0</v>
      </c>
      <c r="H1280" s="285">
        <f t="shared" si="271"/>
        <v>0</v>
      </c>
      <c r="I1280" s="285">
        <f t="shared" si="271"/>
        <v>0</v>
      </c>
      <c r="J1280" s="324">
        <f t="shared" si="270"/>
        <v>0</v>
      </c>
      <c r="K1280" s="294" t="s">
        <v>3555</v>
      </c>
      <c r="L1280" s="44">
        <v>1</v>
      </c>
      <c r="M1280" s="358" t="s">
        <v>3463</v>
      </c>
      <c r="N1280" s="308"/>
      <c r="O1280" s="358" t="s">
        <v>848</v>
      </c>
      <c r="P1280" s="314" t="s">
        <v>3558</v>
      </c>
    </row>
    <row r="1281" s="106" customFormat="1" ht="20.1" customHeight="1" spans="1:16">
      <c r="A1281" s="357" t="s">
        <v>3470</v>
      </c>
      <c r="B1281" s="41" t="s">
        <v>1458</v>
      </c>
      <c r="C1281" s="287">
        <v>0</v>
      </c>
      <c r="D1281" s="288">
        <f t="shared" si="265"/>
        <v>0</v>
      </c>
      <c r="E1281" s="287"/>
      <c r="F1281" s="287"/>
      <c r="G1281" s="287"/>
      <c r="H1281" s="287"/>
      <c r="I1281" s="302"/>
      <c r="J1281" s="303">
        <f t="shared" si="270"/>
        <v>0</v>
      </c>
      <c r="K1281" s="294" t="s">
        <v>3555</v>
      </c>
      <c r="L1281" s="44">
        <v>1</v>
      </c>
      <c r="M1281" s="358" t="s">
        <v>3464</v>
      </c>
      <c r="N1281" s="308"/>
      <c r="O1281" s="358" t="s">
        <v>848</v>
      </c>
      <c r="P1281" s="314" t="s">
        <v>4497</v>
      </c>
    </row>
    <row r="1282" s="106" customFormat="1" ht="20.1" customHeight="1" spans="1:16">
      <c r="A1282" s="357" t="s">
        <v>3471</v>
      </c>
      <c r="B1282" s="41" t="s">
        <v>1460</v>
      </c>
      <c r="C1282" s="287">
        <v>0</v>
      </c>
      <c r="D1282" s="288">
        <f t="shared" si="265"/>
        <v>0</v>
      </c>
      <c r="E1282" s="287"/>
      <c r="F1282" s="287"/>
      <c r="G1282" s="287"/>
      <c r="H1282" s="287"/>
      <c r="I1282" s="302"/>
      <c r="J1282" s="303">
        <f t="shared" si="270"/>
        <v>0</v>
      </c>
      <c r="K1282" s="294" t="s">
        <v>3555</v>
      </c>
      <c r="L1282" s="44">
        <v>2</v>
      </c>
      <c r="M1282" s="358" t="s">
        <v>3466</v>
      </c>
      <c r="N1282" s="308"/>
      <c r="O1282" s="358" t="s">
        <v>848</v>
      </c>
      <c r="P1282" s="314" t="s">
        <v>3565</v>
      </c>
    </row>
    <row r="1283" s="106" customFormat="1" ht="20.1" customHeight="1" spans="1:16">
      <c r="A1283" s="357" t="s">
        <v>3472</v>
      </c>
      <c r="B1283" s="41" t="s">
        <v>1462</v>
      </c>
      <c r="C1283" s="287">
        <v>0</v>
      </c>
      <c r="D1283" s="288">
        <f t="shared" si="265"/>
        <v>0</v>
      </c>
      <c r="E1283" s="287"/>
      <c r="F1283" s="287"/>
      <c r="G1283" s="287"/>
      <c r="H1283" s="287"/>
      <c r="I1283" s="302"/>
      <c r="J1283" s="303">
        <f t="shared" si="270"/>
        <v>0</v>
      </c>
      <c r="K1283" s="294" t="s">
        <v>3555</v>
      </c>
      <c r="L1283" s="44">
        <v>1</v>
      </c>
      <c r="M1283" s="358" t="s">
        <v>3467</v>
      </c>
      <c r="N1283" s="308"/>
      <c r="O1283" s="358" t="s">
        <v>848</v>
      </c>
      <c r="P1283" s="314" t="s">
        <v>4498</v>
      </c>
    </row>
    <row r="1284" s="107" customFormat="1" ht="20.1" customHeight="1" spans="1:16">
      <c r="A1284" s="357" t="s">
        <v>3473</v>
      </c>
      <c r="B1284" s="41" t="s">
        <v>3474</v>
      </c>
      <c r="C1284" s="287">
        <v>0</v>
      </c>
      <c r="D1284" s="288">
        <f t="shared" si="265"/>
        <v>0</v>
      </c>
      <c r="E1284" s="287"/>
      <c r="F1284" s="287"/>
      <c r="G1284" s="287"/>
      <c r="H1284" s="287"/>
      <c r="I1284" s="302"/>
      <c r="J1284" s="303">
        <f t="shared" si="270"/>
        <v>0</v>
      </c>
      <c r="K1284" s="300" t="s">
        <v>3551</v>
      </c>
      <c r="L1284" s="301"/>
      <c r="M1284" s="312" t="s">
        <v>849</v>
      </c>
      <c r="N1284" s="312" t="s">
        <v>846</v>
      </c>
      <c r="O1284" s="312" t="s">
        <v>849</v>
      </c>
      <c r="P1284" s="313" t="s">
        <v>4499</v>
      </c>
    </row>
    <row r="1285" s="106" customFormat="1" ht="20.1" customHeight="1" spans="1:16">
      <c r="A1285" s="357" t="s">
        <v>3475</v>
      </c>
      <c r="B1285" s="41" t="s">
        <v>3476</v>
      </c>
      <c r="C1285" s="287">
        <v>0</v>
      </c>
      <c r="D1285" s="288">
        <f t="shared" si="265"/>
        <v>0</v>
      </c>
      <c r="E1285" s="287"/>
      <c r="F1285" s="287"/>
      <c r="G1285" s="287"/>
      <c r="H1285" s="287"/>
      <c r="I1285" s="302"/>
      <c r="J1285" s="303">
        <f t="shared" si="270"/>
        <v>0</v>
      </c>
      <c r="K1285" s="294" t="s">
        <v>3555</v>
      </c>
      <c r="L1285" s="44">
        <v>1</v>
      </c>
      <c r="M1285" s="358" t="s">
        <v>3470</v>
      </c>
      <c r="N1285" s="308"/>
      <c r="O1285" s="358" t="s">
        <v>849</v>
      </c>
      <c r="P1285" s="314" t="s">
        <v>3556</v>
      </c>
    </row>
    <row r="1286" s="106" customFormat="1" ht="20.1" customHeight="1" spans="1:16">
      <c r="A1286" s="357" t="s">
        <v>3477</v>
      </c>
      <c r="B1286" s="41" t="s">
        <v>1476</v>
      </c>
      <c r="C1286" s="287">
        <v>0</v>
      </c>
      <c r="D1286" s="288">
        <f t="shared" si="265"/>
        <v>0</v>
      </c>
      <c r="E1286" s="287"/>
      <c r="F1286" s="287"/>
      <c r="G1286" s="287"/>
      <c r="H1286" s="287"/>
      <c r="I1286" s="302"/>
      <c r="J1286" s="303">
        <f t="shared" si="270"/>
        <v>0</v>
      </c>
      <c r="K1286" s="294" t="s">
        <v>3555</v>
      </c>
      <c r="L1286" s="44">
        <v>1</v>
      </c>
      <c r="M1286" s="358" t="s">
        <v>3471</v>
      </c>
      <c r="N1286" s="308"/>
      <c r="O1286" s="358" t="s">
        <v>849</v>
      </c>
      <c r="P1286" s="314" t="s">
        <v>3557</v>
      </c>
    </row>
    <row r="1287" s="106" customFormat="1" ht="20.1" customHeight="1" spans="1:16">
      <c r="A1287" s="357" t="s">
        <v>3478</v>
      </c>
      <c r="B1287" s="41" t="s">
        <v>3479</v>
      </c>
      <c r="C1287" s="287">
        <v>0</v>
      </c>
      <c r="D1287" s="288">
        <f t="shared" si="265"/>
        <v>0</v>
      </c>
      <c r="E1287" s="287"/>
      <c r="F1287" s="287"/>
      <c r="G1287" s="287"/>
      <c r="H1287" s="287"/>
      <c r="I1287" s="302"/>
      <c r="J1287" s="303">
        <f t="shared" si="270"/>
        <v>0</v>
      </c>
      <c r="K1287" s="294" t="s">
        <v>3555</v>
      </c>
      <c r="L1287" s="44">
        <v>1</v>
      </c>
      <c r="M1287" s="358" t="s">
        <v>3472</v>
      </c>
      <c r="N1287" s="308"/>
      <c r="O1287" s="358" t="s">
        <v>849</v>
      </c>
      <c r="P1287" s="314" t="s">
        <v>3558</v>
      </c>
    </row>
    <row r="1288" s="106" customFormat="1" ht="20.1" customHeight="1" spans="1:16">
      <c r="A1288" s="283" t="s">
        <v>851</v>
      </c>
      <c r="B1288" s="323" t="s">
        <v>3480</v>
      </c>
      <c r="C1288" s="285">
        <f t="shared" ref="C1288:I1288" si="272">SUM(C1289:C1300)</f>
        <v>0</v>
      </c>
      <c r="D1288" s="285">
        <f t="shared" si="265"/>
        <v>0</v>
      </c>
      <c r="E1288" s="285">
        <f t="shared" si="272"/>
        <v>0</v>
      </c>
      <c r="F1288" s="285">
        <f t="shared" si="272"/>
        <v>0</v>
      </c>
      <c r="G1288" s="285">
        <f t="shared" si="272"/>
        <v>0</v>
      </c>
      <c r="H1288" s="285">
        <f t="shared" si="272"/>
        <v>0</v>
      </c>
      <c r="I1288" s="285">
        <f t="shared" si="272"/>
        <v>0</v>
      </c>
      <c r="J1288" s="324">
        <f t="shared" si="270"/>
        <v>0</v>
      </c>
      <c r="K1288" s="294" t="s">
        <v>3555</v>
      </c>
      <c r="L1288" s="44">
        <v>1</v>
      </c>
      <c r="M1288" s="358" t="s">
        <v>3473</v>
      </c>
      <c r="N1288" s="308"/>
      <c r="O1288" s="358" t="s">
        <v>849</v>
      </c>
      <c r="P1288" s="340" t="s">
        <v>4500</v>
      </c>
    </row>
    <row r="1289" s="106" customFormat="1" ht="20.1" customHeight="1" spans="1:16">
      <c r="A1289" s="357" t="s">
        <v>3481</v>
      </c>
      <c r="B1289" s="41" t="s">
        <v>1458</v>
      </c>
      <c r="C1289" s="287">
        <v>0</v>
      </c>
      <c r="D1289" s="288">
        <f t="shared" si="265"/>
        <v>0</v>
      </c>
      <c r="E1289" s="287"/>
      <c r="F1289" s="287"/>
      <c r="G1289" s="287"/>
      <c r="H1289" s="287"/>
      <c r="I1289" s="302"/>
      <c r="J1289" s="303">
        <f t="shared" si="270"/>
        <v>0</v>
      </c>
      <c r="K1289" s="294" t="s">
        <v>3555</v>
      </c>
      <c r="L1289" s="44">
        <v>1</v>
      </c>
      <c r="M1289" s="358" t="s">
        <v>3475</v>
      </c>
      <c r="N1289" s="308"/>
      <c r="O1289" s="358" t="s">
        <v>849</v>
      </c>
      <c r="P1289" s="340" t="s">
        <v>4501</v>
      </c>
    </row>
    <row r="1290" s="106" customFormat="1" ht="20.1" customHeight="1" spans="1:16">
      <c r="A1290" s="357" t="s">
        <v>3482</v>
      </c>
      <c r="B1290" s="41" t="s">
        <v>1460</v>
      </c>
      <c r="C1290" s="287">
        <v>0</v>
      </c>
      <c r="D1290" s="288">
        <f t="shared" si="265"/>
        <v>0</v>
      </c>
      <c r="E1290" s="287"/>
      <c r="F1290" s="287"/>
      <c r="G1290" s="287"/>
      <c r="H1290" s="287"/>
      <c r="I1290" s="302"/>
      <c r="J1290" s="303">
        <f t="shared" si="270"/>
        <v>0</v>
      </c>
      <c r="K1290" s="294" t="s">
        <v>3555</v>
      </c>
      <c r="L1290" s="44">
        <v>1</v>
      </c>
      <c r="M1290" s="358" t="s">
        <v>3477</v>
      </c>
      <c r="N1290" s="308"/>
      <c r="O1290" s="358" t="s">
        <v>849</v>
      </c>
      <c r="P1290" s="340" t="s">
        <v>3565</v>
      </c>
    </row>
    <row r="1291" s="106" customFormat="1" ht="20.1" customHeight="1" spans="1:16">
      <c r="A1291" s="357" t="s">
        <v>3483</v>
      </c>
      <c r="B1291" s="41" t="s">
        <v>1462</v>
      </c>
      <c r="C1291" s="287">
        <v>0</v>
      </c>
      <c r="D1291" s="288">
        <f t="shared" si="265"/>
        <v>0</v>
      </c>
      <c r="E1291" s="287"/>
      <c r="F1291" s="287"/>
      <c r="G1291" s="287"/>
      <c r="H1291" s="287"/>
      <c r="I1291" s="302"/>
      <c r="J1291" s="303">
        <f t="shared" si="270"/>
        <v>0</v>
      </c>
      <c r="K1291" s="294" t="s">
        <v>3555</v>
      </c>
      <c r="L1291" s="44">
        <v>1</v>
      </c>
      <c r="M1291" s="358" t="s">
        <v>3478</v>
      </c>
      <c r="N1291" s="308"/>
      <c r="O1291" s="358" t="s">
        <v>849</v>
      </c>
      <c r="P1291" s="340" t="s">
        <v>4502</v>
      </c>
    </row>
    <row r="1292" s="107" customFormat="1" ht="20.1" customHeight="1" spans="1:16">
      <c r="A1292" s="357" t="s">
        <v>3484</v>
      </c>
      <c r="B1292" s="41" t="s">
        <v>3485</v>
      </c>
      <c r="C1292" s="287">
        <v>0</v>
      </c>
      <c r="D1292" s="288">
        <f t="shared" si="265"/>
        <v>0</v>
      </c>
      <c r="E1292" s="287"/>
      <c r="F1292" s="287"/>
      <c r="G1292" s="287"/>
      <c r="H1292" s="287"/>
      <c r="I1292" s="302"/>
      <c r="J1292" s="303">
        <f t="shared" si="270"/>
        <v>0</v>
      </c>
      <c r="K1292" s="300" t="s">
        <v>3551</v>
      </c>
      <c r="L1292" s="301"/>
      <c r="M1292" s="312" t="s">
        <v>851</v>
      </c>
      <c r="N1292" s="312" t="s">
        <v>846</v>
      </c>
      <c r="O1292" s="312" t="s">
        <v>851</v>
      </c>
      <c r="P1292" s="313" t="s">
        <v>4503</v>
      </c>
    </row>
    <row r="1293" s="106" customFormat="1" ht="20.1" customHeight="1" spans="1:16">
      <c r="A1293" s="357" t="s">
        <v>3486</v>
      </c>
      <c r="B1293" s="41" t="s">
        <v>3487</v>
      </c>
      <c r="C1293" s="287">
        <v>0</v>
      </c>
      <c r="D1293" s="288">
        <f t="shared" si="265"/>
        <v>0</v>
      </c>
      <c r="E1293" s="287"/>
      <c r="F1293" s="287"/>
      <c r="G1293" s="287"/>
      <c r="H1293" s="287"/>
      <c r="I1293" s="302"/>
      <c r="J1293" s="303">
        <f t="shared" si="270"/>
        <v>0</v>
      </c>
      <c r="K1293" s="294" t="s">
        <v>3555</v>
      </c>
      <c r="L1293" s="44">
        <v>1</v>
      </c>
      <c r="M1293" s="358" t="s">
        <v>3481</v>
      </c>
      <c r="N1293" s="308"/>
      <c r="O1293" s="358" t="s">
        <v>851</v>
      </c>
      <c r="P1293" s="314" t="s">
        <v>3556</v>
      </c>
    </row>
    <row r="1294" s="106" customFormat="1" ht="20.1" customHeight="1" spans="1:16">
      <c r="A1294" s="357" t="s">
        <v>3488</v>
      </c>
      <c r="B1294" s="41" t="s">
        <v>3489</v>
      </c>
      <c r="C1294" s="287">
        <v>0</v>
      </c>
      <c r="D1294" s="288">
        <f t="shared" si="265"/>
        <v>0</v>
      </c>
      <c r="E1294" s="287"/>
      <c r="F1294" s="287"/>
      <c r="G1294" s="287"/>
      <c r="H1294" s="287"/>
      <c r="I1294" s="302"/>
      <c r="J1294" s="303">
        <f t="shared" si="270"/>
        <v>0</v>
      </c>
      <c r="K1294" s="294" t="s">
        <v>3555</v>
      </c>
      <c r="L1294" s="44">
        <v>1</v>
      </c>
      <c r="M1294" s="358" t="s">
        <v>3482</v>
      </c>
      <c r="N1294" s="308"/>
      <c r="O1294" s="358" t="s">
        <v>851</v>
      </c>
      <c r="P1294" s="314" t="s">
        <v>3557</v>
      </c>
    </row>
    <row r="1295" s="106" customFormat="1" ht="20.1" customHeight="1" spans="1:16">
      <c r="A1295" s="357" t="s">
        <v>3490</v>
      </c>
      <c r="B1295" s="41" t="s">
        <v>3491</v>
      </c>
      <c r="C1295" s="287">
        <v>0</v>
      </c>
      <c r="D1295" s="288">
        <f t="shared" si="265"/>
        <v>0</v>
      </c>
      <c r="E1295" s="287"/>
      <c r="F1295" s="287"/>
      <c r="G1295" s="287"/>
      <c r="H1295" s="287"/>
      <c r="I1295" s="302"/>
      <c r="J1295" s="303">
        <f t="shared" si="270"/>
        <v>0</v>
      </c>
      <c r="K1295" s="294" t="s">
        <v>3555</v>
      </c>
      <c r="L1295" s="44">
        <v>1</v>
      </c>
      <c r="M1295" s="358" t="s">
        <v>3483</v>
      </c>
      <c r="N1295" s="308"/>
      <c r="O1295" s="358" t="s">
        <v>851</v>
      </c>
      <c r="P1295" s="314" t="s">
        <v>3558</v>
      </c>
    </row>
    <row r="1296" s="106" customFormat="1" ht="20.1" customHeight="1" spans="1:16">
      <c r="A1296" s="357" t="s">
        <v>3492</v>
      </c>
      <c r="B1296" s="41" t="s">
        <v>3493</v>
      </c>
      <c r="C1296" s="287">
        <v>0</v>
      </c>
      <c r="D1296" s="288">
        <f t="shared" si="265"/>
        <v>0</v>
      </c>
      <c r="E1296" s="287"/>
      <c r="F1296" s="287"/>
      <c r="G1296" s="287"/>
      <c r="H1296" s="287"/>
      <c r="I1296" s="302"/>
      <c r="J1296" s="303">
        <f t="shared" si="270"/>
        <v>0</v>
      </c>
      <c r="K1296" s="294" t="s">
        <v>3555</v>
      </c>
      <c r="L1296" s="44">
        <v>1</v>
      </c>
      <c r="M1296" s="358" t="s">
        <v>3484</v>
      </c>
      <c r="N1296" s="308"/>
      <c r="O1296" s="358" t="s">
        <v>851</v>
      </c>
      <c r="P1296" s="314" t="s">
        <v>4504</v>
      </c>
    </row>
    <row r="1297" s="106" customFormat="1" ht="20.1" customHeight="1" spans="1:16">
      <c r="A1297" s="357" t="s">
        <v>3494</v>
      </c>
      <c r="B1297" s="41" t="s">
        <v>3495</v>
      </c>
      <c r="C1297" s="287">
        <v>0</v>
      </c>
      <c r="D1297" s="288">
        <f t="shared" si="265"/>
        <v>0</v>
      </c>
      <c r="E1297" s="287"/>
      <c r="F1297" s="287"/>
      <c r="G1297" s="287"/>
      <c r="H1297" s="287"/>
      <c r="I1297" s="302"/>
      <c r="J1297" s="303">
        <f t="shared" si="270"/>
        <v>0</v>
      </c>
      <c r="K1297" s="294" t="s">
        <v>3555</v>
      </c>
      <c r="L1297" s="44">
        <v>1</v>
      </c>
      <c r="M1297" s="358" t="s">
        <v>3486</v>
      </c>
      <c r="N1297" s="308"/>
      <c r="O1297" s="358" t="s">
        <v>851</v>
      </c>
      <c r="P1297" s="314" t="s">
        <v>4505</v>
      </c>
    </row>
    <row r="1298" s="106" customFormat="1" ht="20.1" customHeight="1" spans="1:16">
      <c r="A1298" s="357" t="s">
        <v>3496</v>
      </c>
      <c r="B1298" s="41" t="s">
        <v>3497</v>
      </c>
      <c r="C1298" s="287">
        <v>0</v>
      </c>
      <c r="D1298" s="288">
        <f t="shared" si="265"/>
        <v>0</v>
      </c>
      <c r="E1298" s="287"/>
      <c r="F1298" s="287"/>
      <c r="G1298" s="287"/>
      <c r="H1298" s="287"/>
      <c r="I1298" s="302"/>
      <c r="J1298" s="303">
        <f t="shared" si="270"/>
        <v>0</v>
      </c>
      <c r="K1298" s="294" t="s">
        <v>3555</v>
      </c>
      <c r="L1298" s="44">
        <v>1</v>
      </c>
      <c r="M1298" s="358" t="s">
        <v>3488</v>
      </c>
      <c r="N1298" s="308"/>
      <c r="O1298" s="358" t="s">
        <v>851</v>
      </c>
      <c r="P1298" s="314" t="s">
        <v>4506</v>
      </c>
    </row>
    <row r="1299" s="106" customFormat="1" ht="20.1" customHeight="1" spans="1:16">
      <c r="A1299" s="357" t="s">
        <v>3498</v>
      </c>
      <c r="B1299" s="41" t="s">
        <v>3499</v>
      </c>
      <c r="C1299" s="287">
        <v>0</v>
      </c>
      <c r="D1299" s="288">
        <f t="shared" si="265"/>
        <v>0</v>
      </c>
      <c r="E1299" s="287"/>
      <c r="F1299" s="287"/>
      <c r="G1299" s="287"/>
      <c r="H1299" s="287"/>
      <c r="I1299" s="302"/>
      <c r="J1299" s="303">
        <f t="shared" si="270"/>
        <v>0</v>
      </c>
      <c r="K1299" s="294" t="s">
        <v>3555</v>
      </c>
      <c r="L1299" s="44">
        <v>1</v>
      </c>
      <c r="M1299" s="358" t="s">
        <v>3490</v>
      </c>
      <c r="N1299" s="308"/>
      <c r="O1299" s="358" t="s">
        <v>851</v>
      </c>
      <c r="P1299" s="314" t="s">
        <v>4507</v>
      </c>
    </row>
    <row r="1300" s="106" customFormat="1" ht="20.1" customHeight="1" spans="1:16">
      <c r="A1300" s="357" t="s">
        <v>3500</v>
      </c>
      <c r="B1300" s="41" t="s">
        <v>3501</v>
      </c>
      <c r="C1300" s="287">
        <v>0</v>
      </c>
      <c r="D1300" s="288">
        <f t="shared" si="265"/>
        <v>0</v>
      </c>
      <c r="E1300" s="287"/>
      <c r="F1300" s="287"/>
      <c r="G1300" s="287"/>
      <c r="H1300" s="287"/>
      <c r="I1300" s="302"/>
      <c r="J1300" s="303">
        <f t="shared" si="270"/>
        <v>0</v>
      </c>
      <c r="K1300" s="294" t="s">
        <v>3555</v>
      </c>
      <c r="L1300" s="44">
        <v>1</v>
      </c>
      <c r="M1300" s="358" t="s">
        <v>3492</v>
      </c>
      <c r="N1300" s="308"/>
      <c r="O1300" s="358" t="s">
        <v>851</v>
      </c>
      <c r="P1300" s="314" t="s">
        <v>4508</v>
      </c>
    </row>
    <row r="1301" s="106" customFormat="1" ht="20.1" customHeight="1" spans="1:16">
      <c r="A1301" s="283" t="s">
        <v>852</v>
      </c>
      <c r="B1301" s="323" t="s">
        <v>3502</v>
      </c>
      <c r="C1301" s="285">
        <f t="shared" ref="C1301:I1301" si="273">SUM(C1302:C1304)</f>
        <v>256</v>
      </c>
      <c r="D1301" s="285">
        <f t="shared" si="265"/>
        <v>2307</v>
      </c>
      <c r="E1301" s="285">
        <f t="shared" si="273"/>
        <v>0</v>
      </c>
      <c r="F1301" s="285">
        <f t="shared" si="273"/>
        <v>1239</v>
      </c>
      <c r="G1301" s="285">
        <f t="shared" si="273"/>
        <v>1068</v>
      </c>
      <c r="H1301" s="285">
        <f t="shared" si="273"/>
        <v>0</v>
      </c>
      <c r="I1301" s="285">
        <f t="shared" si="273"/>
        <v>0</v>
      </c>
      <c r="J1301" s="324">
        <f t="shared" si="270"/>
        <v>901.17</v>
      </c>
      <c r="K1301" s="294" t="s">
        <v>3555</v>
      </c>
      <c r="L1301" s="44">
        <v>1</v>
      </c>
      <c r="M1301" s="358" t="s">
        <v>3494</v>
      </c>
      <c r="N1301" s="308"/>
      <c r="O1301" s="358" t="s">
        <v>851</v>
      </c>
      <c r="P1301" s="314" t="s">
        <v>4509</v>
      </c>
    </row>
    <row r="1302" s="106" customFormat="1" ht="20.1" customHeight="1" spans="1:16">
      <c r="A1302" s="357" t="s">
        <v>3503</v>
      </c>
      <c r="B1302" s="41" t="s">
        <v>3504</v>
      </c>
      <c r="C1302" s="287">
        <v>256</v>
      </c>
      <c r="D1302" s="288">
        <f t="shared" si="265"/>
        <v>1568</v>
      </c>
      <c r="E1302" s="287"/>
      <c r="F1302" s="287">
        <v>500</v>
      </c>
      <c r="G1302" s="287">
        <v>1068</v>
      </c>
      <c r="H1302" s="287"/>
      <c r="I1302" s="302"/>
      <c r="J1302" s="303">
        <f t="shared" si="270"/>
        <v>612.5</v>
      </c>
      <c r="K1302" s="294" t="s">
        <v>3555</v>
      </c>
      <c r="L1302" s="44">
        <v>1</v>
      </c>
      <c r="M1302" s="358" t="s">
        <v>3496</v>
      </c>
      <c r="N1302" s="308"/>
      <c r="O1302" s="358" t="s">
        <v>851</v>
      </c>
      <c r="P1302" s="314" t="s">
        <v>4510</v>
      </c>
    </row>
    <row r="1303" s="106" customFormat="1" ht="20.1" customHeight="1" spans="1:16">
      <c r="A1303" s="357" t="s">
        <v>3505</v>
      </c>
      <c r="B1303" s="41" t="s">
        <v>3506</v>
      </c>
      <c r="C1303" s="287"/>
      <c r="D1303" s="288">
        <f t="shared" si="265"/>
        <v>0</v>
      </c>
      <c r="E1303" s="287"/>
      <c r="F1303" s="287"/>
      <c r="G1303" s="287"/>
      <c r="H1303" s="287"/>
      <c r="I1303" s="302"/>
      <c r="J1303" s="303">
        <f t="shared" si="270"/>
        <v>0</v>
      </c>
      <c r="K1303" s="294" t="s">
        <v>3555</v>
      </c>
      <c r="L1303" s="44">
        <v>1</v>
      </c>
      <c r="M1303" s="358" t="s">
        <v>3498</v>
      </c>
      <c r="N1303" s="308"/>
      <c r="O1303" s="358" t="s">
        <v>851</v>
      </c>
      <c r="P1303" s="314" t="s">
        <v>4511</v>
      </c>
    </row>
    <row r="1304" s="106" customFormat="1" ht="20.1" customHeight="1" spans="1:16">
      <c r="A1304" s="357" t="s">
        <v>3507</v>
      </c>
      <c r="B1304" s="41" t="s">
        <v>3508</v>
      </c>
      <c r="C1304" s="287"/>
      <c r="D1304" s="288">
        <f t="shared" si="265"/>
        <v>739</v>
      </c>
      <c r="E1304" s="287"/>
      <c r="F1304" s="287">
        <v>739</v>
      </c>
      <c r="G1304" s="287"/>
      <c r="H1304" s="287"/>
      <c r="I1304" s="302"/>
      <c r="J1304" s="303">
        <f t="shared" si="270"/>
        <v>100</v>
      </c>
      <c r="K1304" s="294" t="s">
        <v>3555</v>
      </c>
      <c r="L1304" s="44">
        <v>1</v>
      </c>
      <c r="M1304" s="358" t="s">
        <v>3500</v>
      </c>
      <c r="N1304" s="308"/>
      <c r="O1304" s="358" t="s">
        <v>851</v>
      </c>
      <c r="P1304" s="314" t="s">
        <v>4512</v>
      </c>
    </row>
    <row r="1305" s="107" customFormat="1" ht="20.1" customHeight="1" spans="1:16">
      <c r="A1305" s="283" t="s">
        <v>853</v>
      </c>
      <c r="B1305" s="323" t="s">
        <v>3509</v>
      </c>
      <c r="C1305" s="285">
        <f t="shared" ref="C1305:I1305" si="274">SUM(C1306:C1308)</f>
        <v>160</v>
      </c>
      <c r="D1305" s="285">
        <f t="shared" si="265"/>
        <v>14</v>
      </c>
      <c r="E1305" s="285">
        <f t="shared" si="274"/>
        <v>0</v>
      </c>
      <c r="F1305" s="285">
        <f t="shared" si="274"/>
        <v>0</v>
      </c>
      <c r="G1305" s="285">
        <f t="shared" si="274"/>
        <v>14</v>
      </c>
      <c r="H1305" s="285">
        <f t="shared" si="274"/>
        <v>0</v>
      </c>
      <c r="I1305" s="285">
        <f t="shared" si="274"/>
        <v>0</v>
      </c>
      <c r="J1305" s="324">
        <f t="shared" si="270"/>
        <v>8.75</v>
      </c>
      <c r="K1305" s="300" t="s">
        <v>3551</v>
      </c>
      <c r="L1305" s="301"/>
      <c r="M1305" s="312" t="s">
        <v>852</v>
      </c>
      <c r="N1305" s="312" t="s">
        <v>846</v>
      </c>
      <c r="O1305" s="312" t="s">
        <v>852</v>
      </c>
      <c r="P1305" s="313" t="s">
        <v>4513</v>
      </c>
    </row>
    <row r="1306" s="106" customFormat="1" ht="20.1" customHeight="1" spans="1:16">
      <c r="A1306" s="357" t="s">
        <v>3510</v>
      </c>
      <c r="B1306" s="41" t="s">
        <v>3511</v>
      </c>
      <c r="C1306" s="287">
        <v>88</v>
      </c>
      <c r="D1306" s="288">
        <f t="shared" si="265"/>
        <v>14</v>
      </c>
      <c r="E1306" s="287"/>
      <c r="F1306" s="287"/>
      <c r="G1306" s="287">
        <v>14</v>
      </c>
      <c r="H1306" s="287"/>
      <c r="I1306" s="302"/>
      <c r="J1306" s="303">
        <f t="shared" si="270"/>
        <v>15.91</v>
      </c>
      <c r="K1306" s="294" t="s">
        <v>3555</v>
      </c>
      <c r="L1306" s="44">
        <v>1</v>
      </c>
      <c r="M1306" s="358" t="s">
        <v>3503</v>
      </c>
      <c r="N1306" s="308"/>
      <c r="O1306" s="358" t="s">
        <v>852</v>
      </c>
      <c r="P1306" s="314" t="s">
        <v>4514</v>
      </c>
    </row>
    <row r="1307" s="106" customFormat="1" ht="20.1" customHeight="1" spans="1:16">
      <c r="A1307" s="357" t="s">
        <v>3512</v>
      </c>
      <c r="B1307" s="41" t="s">
        <v>3513</v>
      </c>
      <c r="C1307" s="287"/>
      <c r="D1307" s="288">
        <f t="shared" si="265"/>
        <v>0</v>
      </c>
      <c r="E1307" s="287"/>
      <c r="F1307" s="287"/>
      <c r="G1307" s="287"/>
      <c r="H1307" s="287"/>
      <c r="I1307" s="302"/>
      <c r="J1307" s="303">
        <f t="shared" si="270"/>
        <v>0</v>
      </c>
      <c r="K1307" s="294" t="s">
        <v>3555</v>
      </c>
      <c r="L1307" s="44">
        <v>1</v>
      </c>
      <c r="M1307" s="358" t="s">
        <v>3505</v>
      </c>
      <c r="N1307" s="308"/>
      <c r="O1307" s="358" t="s">
        <v>852</v>
      </c>
      <c r="P1307" s="314" t="s">
        <v>4515</v>
      </c>
    </row>
    <row r="1308" s="106" customFormat="1" ht="20.1" customHeight="1" spans="1:16">
      <c r="A1308" s="357" t="s">
        <v>3514</v>
      </c>
      <c r="B1308" s="41" t="s">
        <v>3515</v>
      </c>
      <c r="C1308" s="287">
        <v>72</v>
      </c>
      <c r="D1308" s="288">
        <f t="shared" si="265"/>
        <v>0</v>
      </c>
      <c r="E1308" s="287"/>
      <c r="F1308" s="287"/>
      <c r="G1308" s="287"/>
      <c r="H1308" s="287"/>
      <c r="I1308" s="302"/>
      <c r="J1308" s="303">
        <f t="shared" si="270"/>
        <v>-100</v>
      </c>
      <c r="K1308" s="294" t="s">
        <v>3555</v>
      </c>
      <c r="L1308" s="44">
        <v>1</v>
      </c>
      <c r="M1308" s="358" t="s">
        <v>3507</v>
      </c>
      <c r="N1308" s="308"/>
      <c r="O1308" s="358" t="s">
        <v>852</v>
      </c>
      <c r="P1308" s="314" t="s">
        <v>4516</v>
      </c>
    </row>
    <row r="1309" s="107" customFormat="1" ht="20.1" customHeight="1" spans="1:16">
      <c r="A1309" s="283" t="s">
        <v>854</v>
      </c>
      <c r="B1309" s="323" t="s">
        <v>3516</v>
      </c>
      <c r="C1309" s="285">
        <f t="shared" ref="C1309:I1309" si="275">SUM(C1310)</f>
        <v>629</v>
      </c>
      <c r="D1309" s="285">
        <f t="shared" si="265"/>
        <v>0</v>
      </c>
      <c r="E1309" s="285">
        <f t="shared" si="275"/>
        <v>0</v>
      </c>
      <c r="F1309" s="285">
        <f t="shared" si="275"/>
        <v>0</v>
      </c>
      <c r="G1309" s="285">
        <f t="shared" si="275"/>
        <v>0</v>
      </c>
      <c r="H1309" s="285">
        <f t="shared" si="275"/>
        <v>0</v>
      </c>
      <c r="I1309" s="285">
        <f t="shared" si="275"/>
        <v>0</v>
      </c>
      <c r="J1309" s="324">
        <f t="shared" si="270"/>
        <v>-100</v>
      </c>
      <c r="K1309" s="300" t="s">
        <v>3551</v>
      </c>
      <c r="L1309" s="301"/>
      <c r="M1309" s="312" t="s">
        <v>853</v>
      </c>
      <c r="N1309" s="312" t="s">
        <v>846</v>
      </c>
      <c r="O1309" s="312" t="s">
        <v>853</v>
      </c>
      <c r="P1309" s="313" t="s">
        <v>4517</v>
      </c>
    </row>
    <row r="1310" s="106" customFormat="1" ht="20.1" customHeight="1" spans="1:16">
      <c r="A1310" s="357" t="s">
        <v>3517</v>
      </c>
      <c r="B1310" s="41" t="s">
        <v>466</v>
      </c>
      <c r="C1310" s="287">
        <v>629</v>
      </c>
      <c r="D1310" s="288">
        <f t="shared" si="265"/>
        <v>0</v>
      </c>
      <c r="E1310" s="287"/>
      <c r="F1310" s="287"/>
      <c r="G1310" s="287"/>
      <c r="H1310" s="287"/>
      <c r="I1310" s="302"/>
      <c r="J1310" s="303"/>
      <c r="K1310" s="294" t="s">
        <v>3555</v>
      </c>
      <c r="L1310" s="44">
        <v>1</v>
      </c>
      <c r="M1310" s="358" t="s">
        <v>3510</v>
      </c>
      <c r="N1310" s="308"/>
      <c r="O1310" s="358" t="s">
        <v>853</v>
      </c>
      <c r="P1310" s="314" t="s">
        <v>4518</v>
      </c>
    </row>
    <row r="1311" s="106" customFormat="1" ht="20.1" customHeight="1" spans="1:16">
      <c r="A1311" s="280" t="s">
        <v>855</v>
      </c>
      <c r="B1311" s="281" t="s">
        <v>856</v>
      </c>
      <c r="C1311" s="282"/>
      <c r="D1311" s="282">
        <f t="shared" si="265"/>
        <v>2100</v>
      </c>
      <c r="E1311" s="282"/>
      <c r="F1311" s="282"/>
      <c r="G1311" s="282"/>
      <c r="H1311" s="282">
        <v>2100</v>
      </c>
      <c r="I1311" s="359"/>
      <c r="J1311" s="296">
        <f t="shared" ref="J1311:J1313" si="276">ROUND(IF(C1311=0,IF(D1311=0,0,1),IF(D1311=0,-1,D1311/C1311)),4)*100</f>
        <v>100</v>
      </c>
      <c r="K1311" s="294" t="s">
        <v>3555</v>
      </c>
      <c r="L1311" s="44">
        <v>1</v>
      </c>
      <c r="M1311" s="358" t="s">
        <v>3512</v>
      </c>
      <c r="N1311" s="308"/>
      <c r="O1311" s="358" t="s">
        <v>853</v>
      </c>
      <c r="P1311" s="314" t="s">
        <v>4519</v>
      </c>
    </row>
    <row r="1312" s="106" customFormat="1" ht="20.1" customHeight="1" spans="1:16">
      <c r="A1312" s="280" t="s">
        <v>857</v>
      </c>
      <c r="B1312" s="281" t="s">
        <v>858</v>
      </c>
      <c r="C1312" s="282">
        <f t="shared" ref="C1312:I1312" si="277">C1313+C1315</f>
        <v>30</v>
      </c>
      <c r="D1312" s="282">
        <f t="shared" si="265"/>
        <v>15036</v>
      </c>
      <c r="E1312" s="282">
        <f t="shared" si="277"/>
        <v>0</v>
      </c>
      <c r="F1312" s="282">
        <f t="shared" si="277"/>
        <v>0</v>
      </c>
      <c r="G1312" s="282">
        <f t="shared" si="277"/>
        <v>0</v>
      </c>
      <c r="H1312" s="282">
        <f t="shared" si="277"/>
        <v>15036</v>
      </c>
      <c r="I1312" s="282">
        <f t="shared" si="277"/>
        <v>0</v>
      </c>
      <c r="J1312" s="296">
        <f t="shared" si="276"/>
        <v>50120</v>
      </c>
      <c r="K1312" s="294" t="s">
        <v>3555</v>
      </c>
      <c r="L1312" s="44">
        <v>1</v>
      </c>
      <c r="M1312" s="358" t="s">
        <v>3514</v>
      </c>
      <c r="N1312" s="308"/>
      <c r="O1312" s="358" t="s">
        <v>853</v>
      </c>
      <c r="P1312" s="314" t="s">
        <v>4520</v>
      </c>
    </row>
    <row r="1313" s="107" customFormat="1" ht="20.1" customHeight="1" spans="1:16">
      <c r="A1313" s="283" t="s">
        <v>859</v>
      </c>
      <c r="B1313" s="323" t="s">
        <v>3518</v>
      </c>
      <c r="C1313" s="285">
        <f t="shared" ref="C1313:I1313" si="278">C1314</f>
        <v>0</v>
      </c>
      <c r="D1313" s="285">
        <f t="shared" si="265"/>
        <v>15036</v>
      </c>
      <c r="E1313" s="285">
        <f t="shared" si="278"/>
        <v>0</v>
      </c>
      <c r="F1313" s="285">
        <f t="shared" si="278"/>
        <v>0</v>
      </c>
      <c r="G1313" s="285">
        <f t="shared" si="278"/>
        <v>0</v>
      </c>
      <c r="H1313" s="285">
        <f t="shared" si="278"/>
        <v>15036</v>
      </c>
      <c r="I1313" s="285">
        <f t="shared" si="278"/>
        <v>0</v>
      </c>
      <c r="J1313" s="324">
        <f t="shared" si="276"/>
        <v>100</v>
      </c>
      <c r="K1313" s="300" t="s">
        <v>3551</v>
      </c>
      <c r="L1313" s="301">
        <v>1</v>
      </c>
      <c r="M1313" s="312" t="s">
        <v>854</v>
      </c>
      <c r="N1313" s="312" t="s">
        <v>846</v>
      </c>
      <c r="O1313" s="312" t="s">
        <v>854</v>
      </c>
      <c r="P1313" s="313" t="s">
        <v>4521</v>
      </c>
    </row>
    <row r="1314" s="106" customFormat="1" ht="20.1" customHeight="1" spans="1:16">
      <c r="A1314" s="279" t="s">
        <v>3519</v>
      </c>
      <c r="B1314" s="41" t="s">
        <v>3520</v>
      </c>
      <c r="C1314" s="287"/>
      <c r="D1314" s="288">
        <f t="shared" si="265"/>
        <v>15036</v>
      </c>
      <c r="E1314" s="287"/>
      <c r="F1314" s="287"/>
      <c r="G1314" s="287"/>
      <c r="H1314" s="287">
        <f>17536-2500</f>
        <v>15036</v>
      </c>
      <c r="I1314" s="302"/>
      <c r="J1314" s="303"/>
      <c r="K1314" s="294" t="s">
        <v>3555</v>
      </c>
      <c r="L1314" s="44">
        <v>1</v>
      </c>
      <c r="M1314" s="358" t="s">
        <v>3517</v>
      </c>
      <c r="N1314" s="361" t="s">
        <v>846</v>
      </c>
      <c r="O1314" s="358" t="s">
        <v>854</v>
      </c>
      <c r="P1314" s="314" t="s">
        <v>4521</v>
      </c>
    </row>
    <row r="1315" s="107" customFormat="1" ht="20.1" customHeight="1" spans="1:16">
      <c r="A1315" s="283" t="s">
        <v>861</v>
      </c>
      <c r="B1315" s="323" t="s">
        <v>3252</v>
      </c>
      <c r="C1315" s="285">
        <f t="shared" ref="C1315:I1315" si="279">C1316</f>
        <v>30</v>
      </c>
      <c r="D1315" s="285">
        <f t="shared" si="265"/>
        <v>0</v>
      </c>
      <c r="E1315" s="285">
        <f t="shared" si="279"/>
        <v>0</v>
      </c>
      <c r="F1315" s="285">
        <f t="shared" si="279"/>
        <v>0</v>
      </c>
      <c r="G1315" s="285">
        <f t="shared" si="279"/>
        <v>0</v>
      </c>
      <c r="H1315" s="285">
        <f t="shared" si="279"/>
        <v>0</v>
      </c>
      <c r="I1315" s="285">
        <f t="shared" si="279"/>
        <v>0</v>
      </c>
      <c r="J1315" s="324">
        <f t="shared" ref="J1315:J1329" si="280">ROUND(IF(C1315=0,IF(D1315=0,0,1),IF(D1315=0,-1,D1315/C1315)),4)*100</f>
        <v>-100</v>
      </c>
      <c r="K1315" s="297" t="s">
        <v>3550</v>
      </c>
      <c r="L1315" s="298"/>
      <c r="M1315" s="310" t="s">
        <v>855</v>
      </c>
      <c r="N1315" s="310" t="s">
        <v>855</v>
      </c>
      <c r="O1315" s="310" t="s">
        <v>855</v>
      </c>
      <c r="P1315" s="311" t="s">
        <v>4522</v>
      </c>
    </row>
    <row r="1316" s="107" customFormat="1" ht="20.1" customHeight="1" spans="1:16">
      <c r="A1316" s="279" t="s">
        <v>3521</v>
      </c>
      <c r="B1316" s="289" t="s">
        <v>819</v>
      </c>
      <c r="C1316" s="287">
        <v>30</v>
      </c>
      <c r="D1316" s="287"/>
      <c r="E1316" s="287"/>
      <c r="F1316" s="287"/>
      <c r="G1316" s="287"/>
      <c r="H1316" s="287"/>
      <c r="I1316" s="287"/>
      <c r="J1316" s="236"/>
      <c r="K1316" s="297" t="s">
        <v>3550</v>
      </c>
      <c r="L1316" s="298"/>
      <c r="M1316" s="310" t="s">
        <v>857</v>
      </c>
      <c r="N1316" s="310" t="s">
        <v>857</v>
      </c>
      <c r="O1316" s="310" t="s">
        <v>857</v>
      </c>
      <c r="P1316" s="311" t="s">
        <v>3711</v>
      </c>
    </row>
    <row r="1317" s="107" customFormat="1" ht="20.1" customHeight="1" spans="1:16">
      <c r="A1317" s="280" t="s">
        <v>868</v>
      </c>
      <c r="B1317" s="281" t="s">
        <v>3522</v>
      </c>
      <c r="C1317" s="282">
        <f t="shared" ref="C1317:I1317" si="281">C1318</f>
        <v>0</v>
      </c>
      <c r="D1317" s="282">
        <f t="shared" ref="D1317:D1331" si="282">SUM(E1317:I1317)</f>
        <v>0</v>
      </c>
      <c r="E1317" s="282">
        <f t="shared" si="281"/>
        <v>0</v>
      </c>
      <c r="F1317" s="282">
        <f t="shared" si="281"/>
        <v>0</v>
      </c>
      <c r="G1317" s="282">
        <f t="shared" si="281"/>
        <v>0</v>
      </c>
      <c r="H1317" s="282">
        <f t="shared" si="281"/>
        <v>0</v>
      </c>
      <c r="I1317" s="282">
        <f t="shared" si="281"/>
        <v>0</v>
      </c>
      <c r="J1317" s="296">
        <f t="shared" si="280"/>
        <v>0</v>
      </c>
      <c r="K1317" s="300" t="s">
        <v>3551</v>
      </c>
      <c r="L1317" s="301">
        <v>1</v>
      </c>
      <c r="M1317" s="312" t="s">
        <v>859</v>
      </c>
      <c r="N1317" s="312" t="s">
        <v>857</v>
      </c>
      <c r="O1317" s="312" t="s">
        <v>859</v>
      </c>
      <c r="P1317" s="313" t="s">
        <v>4523</v>
      </c>
    </row>
    <row r="1318" s="106" customFormat="1" ht="20.1" customHeight="1" spans="1:16">
      <c r="A1318" s="283" t="s">
        <v>874</v>
      </c>
      <c r="B1318" s="323" t="s">
        <v>3523</v>
      </c>
      <c r="C1318" s="285">
        <f t="shared" ref="C1318:I1318" si="283">SUM(C1319:C1322)</f>
        <v>0</v>
      </c>
      <c r="D1318" s="285">
        <f t="shared" si="282"/>
        <v>0</v>
      </c>
      <c r="E1318" s="285">
        <f t="shared" si="283"/>
        <v>0</v>
      </c>
      <c r="F1318" s="285">
        <f t="shared" si="283"/>
        <v>0</v>
      </c>
      <c r="G1318" s="285">
        <f t="shared" si="283"/>
        <v>0</v>
      </c>
      <c r="H1318" s="285">
        <f t="shared" si="283"/>
        <v>0</v>
      </c>
      <c r="I1318" s="285">
        <f t="shared" si="283"/>
        <v>0</v>
      </c>
      <c r="J1318" s="324">
        <f t="shared" si="280"/>
        <v>0</v>
      </c>
      <c r="K1318" s="294" t="s">
        <v>3555</v>
      </c>
      <c r="L1318" s="44">
        <v>1</v>
      </c>
      <c r="M1318" s="308" t="s">
        <v>3519</v>
      </c>
      <c r="N1318" s="308"/>
      <c r="O1318" s="308" t="s">
        <v>859</v>
      </c>
      <c r="P1318" s="309" t="s">
        <v>4523</v>
      </c>
    </row>
    <row r="1319" s="107" customFormat="1" ht="20.1" customHeight="1" spans="1:16">
      <c r="A1319" s="279" t="s">
        <v>3524</v>
      </c>
      <c r="B1319" s="41" t="s">
        <v>3525</v>
      </c>
      <c r="C1319" s="287"/>
      <c r="D1319" s="288">
        <f t="shared" si="282"/>
        <v>0</v>
      </c>
      <c r="E1319" s="287"/>
      <c r="F1319" s="287">
        <f>SUM(F1320:F1323)</f>
        <v>0</v>
      </c>
      <c r="G1319" s="287"/>
      <c r="H1319" s="287"/>
      <c r="I1319" s="302"/>
      <c r="J1319" s="303">
        <f t="shared" si="280"/>
        <v>0</v>
      </c>
      <c r="K1319" s="300" t="s">
        <v>3551</v>
      </c>
      <c r="L1319" s="301">
        <v>1</v>
      </c>
      <c r="M1319" s="312" t="s">
        <v>861</v>
      </c>
      <c r="N1319" s="312" t="s">
        <v>857</v>
      </c>
      <c r="O1319" s="312" t="s">
        <v>861</v>
      </c>
      <c r="P1319" s="313" t="s">
        <v>3711</v>
      </c>
    </row>
    <row r="1320" s="106" customFormat="1" ht="20.1" customHeight="1" spans="1:16">
      <c r="A1320" s="279" t="s">
        <v>3526</v>
      </c>
      <c r="B1320" s="41" t="s">
        <v>3527</v>
      </c>
      <c r="C1320" s="287">
        <v>0</v>
      </c>
      <c r="D1320" s="288">
        <f t="shared" si="282"/>
        <v>0</v>
      </c>
      <c r="E1320" s="287"/>
      <c r="F1320" s="287"/>
      <c r="G1320" s="287"/>
      <c r="H1320" s="287"/>
      <c r="I1320" s="302"/>
      <c r="J1320" s="303">
        <f t="shared" si="280"/>
        <v>0</v>
      </c>
      <c r="K1320" s="294" t="s">
        <v>3555</v>
      </c>
      <c r="L1320" s="44">
        <v>1</v>
      </c>
      <c r="M1320" s="308" t="s">
        <v>3521</v>
      </c>
      <c r="N1320" s="308"/>
      <c r="O1320" s="308" t="s">
        <v>3521</v>
      </c>
      <c r="P1320" s="309" t="s">
        <v>3711</v>
      </c>
    </row>
    <row r="1321" s="107" customFormat="1" ht="20.1" customHeight="1" spans="1:16">
      <c r="A1321" s="279" t="s">
        <v>3528</v>
      </c>
      <c r="B1321" s="41" t="s">
        <v>3529</v>
      </c>
      <c r="C1321" s="287">
        <v>0</v>
      </c>
      <c r="D1321" s="288">
        <f t="shared" si="282"/>
        <v>0</v>
      </c>
      <c r="E1321" s="287"/>
      <c r="F1321" s="287"/>
      <c r="G1321" s="287"/>
      <c r="H1321" s="287"/>
      <c r="I1321" s="302"/>
      <c r="J1321" s="303">
        <f t="shared" si="280"/>
        <v>0</v>
      </c>
      <c r="K1321" s="297" t="s">
        <v>3550</v>
      </c>
      <c r="L1321" s="298"/>
      <c r="M1321" s="310" t="s">
        <v>876</v>
      </c>
      <c r="N1321" s="310" t="s">
        <v>876</v>
      </c>
      <c r="O1321" s="310" t="s">
        <v>876</v>
      </c>
      <c r="P1321" s="311" t="s">
        <v>4524</v>
      </c>
    </row>
    <row r="1322" s="107" customFormat="1" ht="20.1" customHeight="1" spans="1:16">
      <c r="A1322" s="279" t="s">
        <v>3530</v>
      </c>
      <c r="B1322" s="41" t="s">
        <v>3531</v>
      </c>
      <c r="C1322" s="287"/>
      <c r="D1322" s="288">
        <f t="shared" si="282"/>
        <v>0</v>
      </c>
      <c r="E1322" s="287"/>
      <c r="F1322" s="287"/>
      <c r="G1322" s="287"/>
      <c r="H1322" s="287"/>
      <c r="I1322" s="302"/>
      <c r="J1322" s="303">
        <f t="shared" si="280"/>
        <v>0</v>
      </c>
      <c r="K1322" s="300" t="s">
        <v>3551</v>
      </c>
      <c r="L1322" s="301"/>
      <c r="M1322" s="312" t="s">
        <v>878</v>
      </c>
      <c r="N1322" s="312" t="s">
        <v>876</v>
      </c>
      <c r="O1322" s="312" t="s">
        <v>878</v>
      </c>
      <c r="P1322" s="313" t="s">
        <v>4525</v>
      </c>
    </row>
    <row r="1323" s="106" customFormat="1" ht="20.1" customHeight="1" spans="1:16">
      <c r="A1323" s="280" t="s">
        <v>876</v>
      </c>
      <c r="B1323" s="281" t="s">
        <v>3532</v>
      </c>
      <c r="C1323" s="282">
        <f t="shared" ref="C1323:I1323" si="284">C1324</f>
        <v>6181</v>
      </c>
      <c r="D1323" s="282">
        <f t="shared" si="282"/>
        <v>5774</v>
      </c>
      <c r="E1323" s="282">
        <f t="shared" si="284"/>
        <v>0</v>
      </c>
      <c r="F1323" s="282">
        <f t="shared" si="284"/>
        <v>0</v>
      </c>
      <c r="G1323" s="282">
        <f t="shared" si="284"/>
        <v>0</v>
      </c>
      <c r="H1323" s="282">
        <f t="shared" si="284"/>
        <v>5774</v>
      </c>
      <c r="I1323" s="282">
        <f t="shared" si="284"/>
        <v>0</v>
      </c>
      <c r="J1323" s="296">
        <f t="shared" si="280"/>
        <v>93.42</v>
      </c>
      <c r="K1323" s="294" t="s">
        <v>3555</v>
      </c>
      <c r="L1323" s="44">
        <v>1</v>
      </c>
      <c r="M1323" s="308" t="s">
        <v>3534</v>
      </c>
      <c r="N1323" s="308"/>
      <c r="O1323" s="308" t="s">
        <v>878</v>
      </c>
      <c r="P1323" s="309" t="s">
        <v>4526</v>
      </c>
    </row>
    <row r="1324" s="106" customFormat="1" ht="20.1" customHeight="1" spans="1:16">
      <c r="A1324" s="283" t="s">
        <v>878</v>
      </c>
      <c r="B1324" s="323" t="s">
        <v>3533</v>
      </c>
      <c r="C1324" s="285">
        <f t="shared" ref="C1324:I1324" si="285">SUM(C1325:C1328)</f>
        <v>6181</v>
      </c>
      <c r="D1324" s="285">
        <f t="shared" si="282"/>
        <v>5774</v>
      </c>
      <c r="E1324" s="285">
        <f t="shared" si="285"/>
        <v>0</v>
      </c>
      <c r="F1324" s="285">
        <f t="shared" si="285"/>
        <v>0</v>
      </c>
      <c r="G1324" s="285">
        <f t="shared" si="285"/>
        <v>0</v>
      </c>
      <c r="H1324" s="285">
        <f t="shared" si="285"/>
        <v>5774</v>
      </c>
      <c r="I1324" s="285">
        <f t="shared" si="285"/>
        <v>0</v>
      </c>
      <c r="J1324" s="324">
        <f t="shared" si="280"/>
        <v>93.42</v>
      </c>
      <c r="K1324" s="294" t="s">
        <v>3555</v>
      </c>
      <c r="L1324" s="44">
        <v>1</v>
      </c>
      <c r="M1324" s="308" t="s">
        <v>3536</v>
      </c>
      <c r="N1324" s="308"/>
      <c r="O1324" s="308" t="s">
        <v>878</v>
      </c>
      <c r="P1324" s="309" t="s">
        <v>4527</v>
      </c>
    </row>
    <row r="1325" s="106" customFormat="1" ht="20.1" customHeight="1" spans="1:16">
      <c r="A1325" s="279" t="s">
        <v>3534</v>
      </c>
      <c r="B1325" s="41" t="s">
        <v>3535</v>
      </c>
      <c r="C1325" s="287">
        <v>5886</v>
      </c>
      <c r="D1325" s="288">
        <f t="shared" si="282"/>
        <v>5774</v>
      </c>
      <c r="E1325" s="287"/>
      <c r="F1325" s="287">
        <f>SUM(F1326:F1329)</f>
        <v>0</v>
      </c>
      <c r="G1325" s="287"/>
      <c r="H1325" s="287">
        <v>5774</v>
      </c>
      <c r="I1325" s="302"/>
      <c r="J1325" s="303">
        <f t="shared" si="280"/>
        <v>98.1</v>
      </c>
      <c r="K1325" s="294" t="s">
        <v>3555</v>
      </c>
      <c r="L1325" s="44">
        <v>1</v>
      </c>
      <c r="M1325" s="308" t="s">
        <v>3538</v>
      </c>
      <c r="N1325" s="308"/>
      <c r="O1325" s="308" t="s">
        <v>878</v>
      </c>
      <c r="P1325" s="309" t="s">
        <v>4528</v>
      </c>
    </row>
    <row r="1326" s="106" customFormat="1" ht="20.1" customHeight="1" spans="1:16">
      <c r="A1326" s="279" t="s">
        <v>3536</v>
      </c>
      <c r="B1326" s="41" t="s">
        <v>3537</v>
      </c>
      <c r="C1326" s="287"/>
      <c r="D1326" s="288">
        <f t="shared" si="282"/>
        <v>0</v>
      </c>
      <c r="E1326" s="287"/>
      <c r="F1326" s="287"/>
      <c r="G1326" s="287"/>
      <c r="H1326" s="287"/>
      <c r="I1326" s="302"/>
      <c r="J1326" s="303">
        <f t="shared" si="280"/>
        <v>0</v>
      </c>
      <c r="K1326" s="294" t="s">
        <v>3555</v>
      </c>
      <c r="L1326" s="44">
        <v>1</v>
      </c>
      <c r="M1326" s="308" t="s">
        <v>3540</v>
      </c>
      <c r="N1326" s="308"/>
      <c r="O1326" s="308" t="s">
        <v>878</v>
      </c>
      <c r="P1326" s="309" t="s">
        <v>4529</v>
      </c>
    </row>
    <row r="1327" s="107" customFormat="1" ht="20.1" customHeight="1" spans="1:16">
      <c r="A1327" s="279" t="s">
        <v>3538</v>
      </c>
      <c r="B1327" s="41" t="s">
        <v>3539</v>
      </c>
      <c r="C1327" s="287">
        <v>295</v>
      </c>
      <c r="D1327" s="288">
        <f t="shared" si="282"/>
        <v>0</v>
      </c>
      <c r="E1327" s="287"/>
      <c r="F1327" s="287"/>
      <c r="G1327" s="287"/>
      <c r="H1327" s="287"/>
      <c r="I1327" s="302"/>
      <c r="J1327" s="303">
        <f t="shared" si="280"/>
        <v>-100</v>
      </c>
      <c r="K1327" s="297" t="s">
        <v>3550</v>
      </c>
      <c r="L1327" s="298"/>
      <c r="M1327" s="310" t="s">
        <v>876</v>
      </c>
      <c r="N1327" s="310" t="s">
        <v>876</v>
      </c>
      <c r="O1327" s="310" t="s">
        <v>876</v>
      </c>
      <c r="P1327" s="311" t="s">
        <v>4524</v>
      </c>
    </row>
    <row r="1328" s="107" customFormat="1" ht="20.1" customHeight="1" spans="1:16">
      <c r="A1328" s="279" t="s">
        <v>3540</v>
      </c>
      <c r="B1328" s="41" t="s">
        <v>3541</v>
      </c>
      <c r="C1328" s="287"/>
      <c r="D1328" s="288">
        <f t="shared" si="282"/>
        <v>0</v>
      </c>
      <c r="E1328" s="287"/>
      <c r="F1328" s="287"/>
      <c r="G1328" s="287"/>
      <c r="H1328" s="287"/>
      <c r="I1328" s="302"/>
      <c r="J1328" s="303">
        <f t="shared" si="280"/>
        <v>0</v>
      </c>
      <c r="K1328" s="300" t="s">
        <v>3551</v>
      </c>
      <c r="L1328" s="301"/>
      <c r="M1328" s="312" t="s">
        <v>878</v>
      </c>
      <c r="N1328" s="312" t="s">
        <v>876</v>
      </c>
      <c r="O1328" s="312" t="s">
        <v>878</v>
      </c>
      <c r="P1328" s="313" t="s">
        <v>4525</v>
      </c>
    </row>
    <row r="1329" s="106" customFormat="1" ht="20.1" customHeight="1" spans="1:16">
      <c r="A1329" s="280" t="s">
        <v>880</v>
      </c>
      <c r="B1329" s="281" t="s">
        <v>3542</v>
      </c>
      <c r="C1329" s="282">
        <f t="shared" ref="C1329:I1329" si="286">C1330</f>
        <v>4</v>
      </c>
      <c r="D1329" s="282">
        <f t="shared" si="282"/>
        <v>0</v>
      </c>
      <c r="E1329" s="282">
        <f t="shared" si="286"/>
        <v>0</v>
      </c>
      <c r="F1329" s="282">
        <f t="shared" si="286"/>
        <v>0</v>
      </c>
      <c r="G1329" s="282">
        <f t="shared" si="286"/>
        <v>0</v>
      </c>
      <c r="H1329" s="282">
        <f t="shared" si="286"/>
        <v>0</v>
      </c>
      <c r="I1329" s="282">
        <f t="shared" si="286"/>
        <v>0</v>
      </c>
      <c r="J1329" s="296">
        <f t="shared" si="280"/>
        <v>-100</v>
      </c>
      <c r="K1329" s="294" t="s">
        <v>3555</v>
      </c>
      <c r="L1329" s="44">
        <v>1</v>
      </c>
      <c r="M1329" s="308" t="s">
        <v>3534</v>
      </c>
      <c r="N1329" s="308"/>
      <c r="O1329" s="308" t="s">
        <v>878</v>
      </c>
      <c r="P1329" s="309" t="s">
        <v>4526</v>
      </c>
    </row>
    <row r="1330" s="106" customFormat="1" ht="20.1" customHeight="1" spans="1:16">
      <c r="A1330" s="283" t="s">
        <v>882</v>
      </c>
      <c r="B1330" s="323" t="s">
        <v>3543</v>
      </c>
      <c r="C1330" s="285">
        <f t="shared" ref="C1330:J1330" si="287">C1331</f>
        <v>4</v>
      </c>
      <c r="D1330" s="285">
        <f t="shared" si="282"/>
        <v>0</v>
      </c>
      <c r="E1330" s="285">
        <f t="shared" si="287"/>
        <v>0</v>
      </c>
      <c r="F1330" s="285">
        <f t="shared" si="287"/>
        <v>0</v>
      </c>
      <c r="G1330" s="285">
        <f t="shared" si="287"/>
        <v>0</v>
      </c>
      <c r="H1330" s="285">
        <f t="shared" si="287"/>
        <v>0</v>
      </c>
      <c r="I1330" s="285">
        <f t="shared" si="287"/>
        <v>0</v>
      </c>
      <c r="J1330" s="324">
        <f t="shared" si="287"/>
        <v>0</v>
      </c>
      <c r="K1330" s="294" t="s">
        <v>3555</v>
      </c>
      <c r="L1330" s="44">
        <v>1</v>
      </c>
      <c r="M1330" s="308" t="s">
        <v>3536</v>
      </c>
      <c r="N1330" s="308"/>
      <c r="O1330" s="308" t="s">
        <v>878</v>
      </c>
      <c r="P1330" s="309" t="s">
        <v>4527</v>
      </c>
    </row>
    <row r="1331" s="106" customFormat="1" ht="20.1" customHeight="1" spans="1:16">
      <c r="A1331" s="335" t="s">
        <v>3544</v>
      </c>
      <c r="B1331" s="41" t="s">
        <v>3545</v>
      </c>
      <c r="C1331" s="287">
        <v>4</v>
      </c>
      <c r="D1331" s="287">
        <f t="shared" si="282"/>
        <v>0</v>
      </c>
      <c r="E1331" s="287"/>
      <c r="F1331" s="287"/>
      <c r="G1331" s="287"/>
      <c r="H1331" s="287"/>
      <c r="I1331" s="360"/>
      <c r="J1331" s="236"/>
      <c r="K1331" s="294" t="s">
        <v>3555</v>
      </c>
      <c r="L1331" s="44">
        <v>1</v>
      </c>
      <c r="M1331" s="308" t="s">
        <v>3538</v>
      </c>
      <c r="N1331" s="308"/>
      <c r="O1331" s="308" t="s">
        <v>878</v>
      </c>
      <c r="P1331" s="309" t="s">
        <v>4528</v>
      </c>
    </row>
    <row r="1332" s="106" customFormat="1" ht="20.1" customHeight="1" spans="1:16">
      <c r="A1332" s="335"/>
      <c r="B1332" s="41"/>
      <c r="C1332" s="287"/>
      <c r="D1332" s="287"/>
      <c r="E1332" s="287"/>
      <c r="F1332" s="287"/>
      <c r="G1332" s="287"/>
      <c r="H1332" s="287"/>
      <c r="I1332" s="360"/>
      <c r="J1332" s="236"/>
      <c r="K1332" s="294" t="s">
        <v>3555</v>
      </c>
      <c r="L1332" s="44">
        <v>1</v>
      </c>
      <c r="M1332" s="308" t="s">
        <v>3540</v>
      </c>
      <c r="N1332" s="308"/>
      <c r="O1332" s="308" t="s">
        <v>878</v>
      </c>
      <c r="P1332" s="309" t="s">
        <v>4529</v>
      </c>
    </row>
    <row r="1333" s="107" customFormat="1" ht="20.1" customHeight="1" spans="1:16">
      <c r="A1333" s="335"/>
      <c r="B1333" s="42" t="s">
        <v>3546</v>
      </c>
      <c r="C1333" s="287">
        <f t="shared" ref="C1333:I1333" si="288">C4+C252+C292+C311+C401+C453+C509+C565+C694+C778+C850+C873+C976+C1028+C1092+C1112+C1142+C1152+C1197+C1216+C1261+C1311+C1312+C1323+C1329+C1317</f>
        <v>337353</v>
      </c>
      <c r="D1333" s="287">
        <f t="shared" si="288"/>
        <v>342806</v>
      </c>
      <c r="E1333" s="287">
        <f t="shared" si="288"/>
        <v>98064</v>
      </c>
      <c r="F1333" s="287">
        <f t="shared" si="288"/>
        <v>4271</v>
      </c>
      <c r="G1333" s="287">
        <f t="shared" si="288"/>
        <v>28941</v>
      </c>
      <c r="H1333" s="287">
        <f t="shared" si="288"/>
        <v>41564</v>
      </c>
      <c r="I1333" s="287">
        <f t="shared" si="288"/>
        <v>169966</v>
      </c>
      <c r="J1333" s="303">
        <f>ROUND(IF(C1333=0,IF(D1333=0,0,1),IF(D1333=0,-1,D1333/C1333)),4)*100</f>
        <v>101.62</v>
      </c>
      <c r="K1333" s="297" t="s">
        <v>3550</v>
      </c>
      <c r="L1333" s="298"/>
      <c r="M1333" s="310" t="s">
        <v>880</v>
      </c>
      <c r="N1333" s="310" t="s">
        <v>880</v>
      </c>
      <c r="O1333" s="310" t="s">
        <v>880</v>
      </c>
      <c r="P1333" s="311" t="s">
        <v>4530</v>
      </c>
    </row>
    <row r="1334" s="107" customFormat="1" ht="20.1" customHeight="1" spans="1:16">
      <c r="A1334" s="268"/>
      <c r="B1334" s="269"/>
      <c r="C1334" s="269"/>
      <c r="D1334" s="270"/>
      <c r="E1334" s="270"/>
      <c r="F1334" s="270"/>
      <c r="G1334" s="270"/>
      <c r="H1334" s="270"/>
      <c r="I1334" s="271"/>
      <c r="J1334" s="269"/>
      <c r="K1334" s="300" t="s">
        <v>3551</v>
      </c>
      <c r="L1334" s="301">
        <v>1</v>
      </c>
      <c r="M1334" s="312" t="s">
        <v>882</v>
      </c>
      <c r="N1334" s="312" t="s">
        <v>880</v>
      </c>
      <c r="O1334" s="312" t="s">
        <v>882</v>
      </c>
      <c r="P1334" s="313" t="s">
        <v>4531</v>
      </c>
    </row>
    <row r="1335" s="106" customFormat="1" ht="20.1" customHeight="1" spans="1:16">
      <c r="A1335" s="268"/>
      <c r="B1335" s="269"/>
      <c r="C1335" s="269"/>
      <c r="D1335" s="270"/>
      <c r="E1335" s="270"/>
      <c r="F1335" s="270"/>
      <c r="G1335" s="270"/>
      <c r="H1335" s="270">
        <v>41564</v>
      </c>
      <c r="I1335" s="271"/>
      <c r="J1335" s="269"/>
      <c r="K1335" s="294" t="s">
        <v>3555</v>
      </c>
      <c r="L1335" s="44">
        <v>1</v>
      </c>
      <c r="M1335" s="308" t="s">
        <v>3544</v>
      </c>
      <c r="N1335" s="308"/>
      <c r="O1335" s="308" t="s">
        <v>882</v>
      </c>
      <c r="P1335" s="309" t="s">
        <v>4531</v>
      </c>
    </row>
    <row r="1336" s="106" customFormat="1" ht="20.1" customHeight="1" spans="1:16">
      <c r="A1336" s="268"/>
      <c r="B1336" s="269"/>
      <c r="C1336" s="269"/>
      <c r="D1336" s="270"/>
      <c r="E1336" s="270"/>
      <c r="F1336" s="270"/>
      <c r="G1336" s="270"/>
      <c r="H1336" s="270"/>
      <c r="I1336" s="271"/>
      <c r="J1336" s="269"/>
      <c r="K1336" s="294"/>
      <c r="L1336" s="44"/>
      <c r="M1336" s="308"/>
      <c r="N1336" s="308"/>
      <c r="O1336" s="308"/>
      <c r="P1336" s="309"/>
    </row>
    <row r="1337" s="106" customFormat="1" ht="20.1" customHeight="1" spans="1:16">
      <c r="A1337" s="268"/>
      <c r="B1337" s="269"/>
      <c r="C1337" s="269"/>
      <c r="D1337" s="270"/>
      <c r="E1337" s="270"/>
      <c r="F1337" s="270"/>
      <c r="G1337" s="270"/>
      <c r="H1337" s="270"/>
      <c r="I1337" s="271"/>
      <c r="J1337" s="269"/>
      <c r="K1337" s="294"/>
      <c r="L1337" s="44"/>
      <c r="M1337" s="308"/>
      <c r="N1337" s="308"/>
      <c r="O1337" s="308"/>
      <c r="P1337" s="309"/>
    </row>
    <row r="1338" ht="20.1" customHeight="1"/>
    <row r="1339" s="140" customFormat="1" hidden="1" spans="1:16">
      <c r="A1339" s="268"/>
      <c r="B1339" s="269"/>
      <c r="C1339" s="269"/>
      <c r="D1339" s="270"/>
      <c r="E1339" s="270"/>
      <c r="F1339" s="270"/>
      <c r="G1339" s="270"/>
      <c r="H1339" s="270"/>
      <c r="I1339" s="271"/>
      <c r="J1339" s="269"/>
      <c r="K1339" s="164"/>
      <c r="L1339" s="164"/>
      <c r="M1339" s="272"/>
      <c r="N1339" s="272"/>
      <c r="O1339" s="272"/>
      <c r="P1339" s="273"/>
    </row>
    <row r="1340" s="140" customFormat="1" hidden="1" spans="1:16">
      <c r="A1340" s="268"/>
      <c r="B1340" s="269"/>
      <c r="C1340" s="269"/>
      <c r="D1340" s="270"/>
      <c r="E1340" s="270"/>
      <c r="F1340" s="270"/>
      <c r="G1340" s="270"/>
      <c r="H1340" s="270"/>
      <c r="I1340" s="271"/>
      <c r="J1340" s="269"/>
      <c r="K1340" s="164"/>
      <c r="L1340" s="164"/>
      <c r="M1340" s="272"/>
      <c r="N1340" s="272"/>
      <c r="O1340" s="272"/>
      <c r="P1340" s="273"/>
    </row>
    <row r="1341" hidden="1"/>
    <row r="1342" hidden="1"/>
  </sheetData>
  <mergeCells count="2">
    <mergeCell ref="A1:J1"/>
    <mergeCell ref="Q952:Q954"/>
  </mergeCells>
  <dataValidations count="1">
    <dataValidation type="decimal" operator="between" allowBlank="1" showInputMessage="1" showErrorMessage="1" sqref="C965:C968 C1263:C1272 C1306:C1308">
      <formula1>-99999999999999</formula1>
      <formula2>99999999999999</formula2>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SheetLayoutView="60" workbookViewId="0">
      <selection activeCell="E2" sqref="E$1:E$1048576"/>
    </sheetView>
  </sheetViews>
  <sheetFormatPr defaultColWidth="9" defaultRowHeight="15.75"/>
  <cols>
    <col min="1" max="1" width="12.5" style="253" customWidth="1"/>
    <col min="2" max="2" width="24" style="253" customWidth="1"/>
    <col min="3" max="4" width="14.25" style="253" customWidth="1"/>
    <col min="5" max="5" width="16.125" style="253" customWidth="1"/>
    <col min="6" max="16384" width="9" style="253"/>
  </cols>
  <sheetData>
    <row r="1" s="253" customFormat="1" ht="36.75" customHeight="1" spans="1:5">
      <c r="A1" s="693" t="s">
        <v>4532</v>
      </c>
      <c r="B1" s="254"/>
      <c r="C1" s="254"/>
      <c r="D1" s="254"/>
      <c r="E1" s="254"/>
    </row>
    <row r="2" s="253" customFormat="1" ht="18" customHeight="1" spans="1:5">
      <c r="A2" s="105"/>
      <c r="B2" s="105"/>
      <c r="C2" s="105"/>
      <c r="D2" s="105"/>
      <c r="E2" s="265" t="s">
        <v>4533</v>
      </c>
    </row>
    <row r="3" s="253" customFormat="1" ht="37.5" customHeight="1" spans="1:5">
      <c r="A3" s="255" t="s">
        <v>4534</v>
      </c>
      <c r="B3" s="255" t="s">
        <v>4535</v>
      </c>
      <c r="C3" s="255" t="s">
        <v>4536</v>
      </c>
      <c r="D3" s="255" t="s">
        <v>4537</v>
      </c>
      <c r="E3" s="255" t="s">
        <v>4538</v>
      </c>
    </row>
    <row r="4" s="106" customFormat="1" ht="23.25" customHeight="1" spans="1:5">
      <c r="A4" s="256"/>
      <c r="B4" s="257" t="s">
        <v>4539</v>
      </c>
      <c r="C4" s="258">
        <f t="shared" ref="C4:C22" si="0">D4+E4</f>
        <v>342806</v>
      </c>
      <c r="D4" s="258">
        <f>D5+D10+D20+D32+D36+D43+D52+D27+D56+D58+D49+D54+D39+D61</f>
        <v>141559</v>
      </c>
      <c r="E4" s="258">
        <f>E5+E10+E20+E32+E36+E43+E52+E27+E56+E58+E49+E54+E39+E61</f>
        <v>201247</v>
      </c>
    </row>
    <row r="5" s="106" customFormat="1" ht="23.25" customHeight="1" spans="1:5">
      <c r="A5" s="259" t="s">
        <v>4540</v>
      </c>
      <c r="B5" s="259" t="s">
        <v>4541</v>
      </c>
      <c r="C5" s="258">
        <f t="shared" si="0"/>
        <v>47558</v>
      </c>
      <c r="D5" s="258">
        <f>SUM(D6:D9)</f>
        <v>35865</v>
      </c>
      <c r="E5" s="258">
        <f>SUM(E6:E9)</f>
        <v>11693</v>
      </c>
    </row>
    <row r="6" s="106" customFormat="1" ht="23.25" customHeight="1" spans="1:5">
      <c r="A6" s="260" t="s">
        <v>4542</v>
      </c>
      <c r="B6" s="260" t="s">
        <v>4543</v>
      </c>
      <c r="C6" s="258">
        <f t="shared" si="0"/>
        <v>28115</v>
      </c>
      <c r="D6" s="261">
        <v>23222</v>
      </c>
      <c r="E6" s="261">
        <f>292+2000+2601</f>
        <v>4893</v>
      </c>
    </row>
    <row r="7" s="106" customFormat="1" ht="23.25" customHeight="1" spans="1:5">
      <c r="A7" s="260" t="s">
        <v>4544</v>
      </c>
      <c r="B7" s="260" t="s">
        <v>4545</v>
      </c>
      <c r="C7" s="258">
        <f t="shared" si="0"/>
        <v>8939</v>
      </c>
      <c r="D7" s="261">
        <v>8430</v>
      </c>
      <c r="E7" s="261">
        <v>509</v>
      </c>
    </row>
    <row r="8" s="106" customFormat="1" ht="23.25" customHeight="1" spans="1:5">
      <c r="A8" s="260" t="s">
        <v>4546</v>
      </c>
      <c r="B8" s="260" t="s">
        <v>4547</v>
      </c>
      <c r="C8" s="258">
        <f t="shared" si="0"/>
        <v>3145</v>
      </c>
      <c r="D8" s="261">
        <v>3109</v>
      </c>
      <c r="E8" s="261">
        <v>36</v>
      </c>
    </row>
    <row r="9" s="106" customFormat="1" ht="23.25" customHeight="1" spans="1:5">
      <c r="A9" s="260" t="s">
        <v>4548</v>
      </c>
      <c r="B9" s="260" t="s">
        <v>4549</v>
      </c>
      <c r="C9" s="258">
        <f t="shared" si="0"/>
        <v>7359</v>
      </c>
      <c r="D9" s="261">
        <v>1104</v>
      </c>
      <c r="E9" s="261">
        <v>6255</v>
      </c>
    </row>
    <row r="10" s="106" customFormat="1" ht="23.25" customHeight="1" spans="1:5">
      <c r="A10" s="259" t="s">
        <v>4550</v>
      </c>
      <c r="B10" s="259" t="s">
        <v>4551</v>
      </c>
      <c r="C10" s="258">
        <f t="shared" si="0"/>
        <v>27518</v>
      </c>
      <c r="D10" s="258">
        <f>SUM(D11:D19)</f>
        <v>6478</v>
      </c>
      <c r="E10" s="258">
        <f>SUM(E11:E19)</f>
        <v>21040</v>
      </c>
    </row>
    <row r="11" s="106" customFormat="1" ht="23.25" customHeight="1" spans="1:5">
      <c r="A11" s="260" t="s">
        <v>4552</v>
      </c>
      <c r="B11" s="260" t="s">
        <v>4553</v>
      </c>
      <c r="C11" s="258">
        <f t="shared" si="0"/>
        <v>18835</v>
      </c>
      <c r="D11" s="261">
        <v>4251</v>
      </c>
      <c r="E11" s="261">
        <f>1208+136+13240</f>
        <v>14584</v>
      </c>
    </row>
    <row r="12" s="106" customFormat="1" ht="23.25" customHeight="1" spans="1:10">
      <c r="A12" s="260" t="s">
        <v>4554</v>
      </c>
      <c r="B12" s="262" t="s">
        <v>4555</v>
      </c>
      <c r="C12" s="258">
        <f t="shared" si="0"/>
        <v>256</v>
      </c>
      <c r="D12" s="261">
        <v>45</v>
      </c>
      <c r="E12" s="261">
        <f>106+105</f>
        <v>211</v>
      </c>
      <c r="H12" s="263"/>
      <c r="I12" s="264"/>
      <c r="J12" s="264"/>
    </row>
    <row r="13" s="106" customFormat="1" ht="23.25" customHeight="1" spans="1:10">
      <c r="A13" s="260" t="s">
        <v>4556</v>
      </c>
      <c r="B13" s="262" t="s">
        <v>4557</v>
      </c>
      <c r="C13" s="258">
        <f t="shared" si="0"/>
        <v>861</v>
      </c>
      <c r="D13" s="261">
        <v>40</v>
      </c>
      <c r="E13" s="261">
        <f>765+56</f>
        <v>821</v>
      </c>
      <c r="H13" s="263"/>
      <c r="I13" s="264"/>
      <c r="J13" s="264"/>
    </row>
    <row r="14" s="106" customFormat="1" ht="23.25" customHeight="1" spans="1:10">
      <c r="A14" s="260" t="s">
        <v>4558</v>
      </c>
      <c r="B14" s="260" t="s">
        <v>4559</v>
      </c>
      <c r="C14" s="258">
        <f t="shared" si="0"/>
        <v>203</v>
      </c>
      <c r="D14" s="261">
        <v>1</v>
      </c>
      <c r="E14" s="261">
        <v>202</v>
      </c>
      <c r="H14" s="263"/>
      <c r="I14" s="264"/>
      <c r="J14" s="264"/>
    </row>
    <row r="15" s="106" customFormat="1" ht="23.25" customHeight="1" spans="1:10">
      <c r="A15" s="260" t="s">
        <v>4560</v>
      </c>
      <c r="B15" s="260" t="s">
        <v>4561</v>
      </c>
      <c r="C15" s="258">
        <f t="shared" si="0"/>
        <v>2820</v>
      </c>
      <c r="D15" s="261">
        <v>274</v>
      </c>
      <c r="E15" s="261">
        <f>2539+7</f>
        <v>2546</v>
      </c>
      <c r="H15" s="263"/>
      <c r="I15" s="264"/>
      <c r="J15" s="264"/>
    </row>
    <row r="16" s="106" customFormat="1" ht="23.25" customHeight="1" spans="1:10">
      <c r="A16" s="260" t="s">
        <v>4562</v>
      </c>
      <c r="B16" s="262" t="s">
        <v>4563</v>
      </c>
      <c r="C16" s="258">
        <f t="shared" si="0"/>
        <v>218</v>
      </c>
      <c r="D16" s="261">
        <v>64</v>
      </c>
      <c r="E16" s="261">
        <f>110+44</f>
        <v>154</v>
      </c>
      <c r="H16" s="263"/>
      <c r="I16" s="264"/>
      <c r="J16" s="264"/>
    </row>
    <row r="17" s="106" customFormat="1" ht="23.25" customHeight="1" spans="1:10">
      <c r="A17" s="260" t="s">
        <v>4564</v>
      </c>
      <c r="B17" s="262" t="s">
        <v>4565</v>
      </c>
      <c r="C17" s="258">
        <f t="shared" si="0"/>
        <v>513</v>
      </c>
      <c r="D17" s="261">
        <v>353</v>
      </c>
      <c r="E17" s="261">
        <f>47+113</f>
        <v>160</v>
      </c>
      <c r="H17" s="263"/>
      <c r="I17" s="264"/>
      <c r="J17" s="264"/>
    </row>
    <row r="18" s="106" customFormat="1" ht="23.25" customHeight="1" spans="1:5">
      <c r="A18" s="260" t="s">
        <v>4566</v>
      </c>
      <c r="B18" s="260" t="s">
        <v>4567</v>
      </c>
      <c r="C18" s="258">
        <f t="shared" si="0"/>
        <v>156</v>
      </c>
      <c r="D18" s="261">
        <v>106</v>
      </c>
      <c r="E18" s="261">
        <v>50</v>
      </c>
    </row>
    <row r="19" s="106" customFormat="1" ht="23.25" customHeight="1" spans="1:5">
      <c r="A19" s="260" t="s">
        <v>4568</v>
      </c>
      <c r="B19" s="260" t="s">
        <v>4569</v>
      </c>
      <c r="C19" s="258">
        <f t="shared" si="0"/>
        <v>3656</v>
      </c>
      <c r="D19" s="261">
        <v>1344</v>
      </c>
      <c r="E19" s="261">
        <v>2312</v>
      </c>
    </row>
    <row r="20" s="106" customFormat="1" ht="23.25" customHeight="1" spans="1:5">
      <c r="A20" s="259" t="s">
        <v>4570</v>
      </c>
      <c r="B20" s="259" t="s">
        <v>4571</v>
      </c>
      <c r="C20" s="258">
        <f t="shared" si="0"/>
        <v>70040</v>
      </c>
      <c r="D20" s="258">
        <f>SUM(D21:D26)</f>
        <v>78</v>
      </c>
      <c r="E20" s="258">
        <f>SUM(E21:E26)</f>
        <v>69962</v>
      </c>
    </row>
    <row r="21" s="106" customFormat="1" ht="23.25" customHeight="1" spans="1:5">
      <c r="A21" s="260" t="s">
        <v>4572</v>
      </c>
      <c r="B21" s="260" t="s">
        <v>4573</v>
      </c>
      <c r="C21" s="258">
        <f t="shared" si="0"/>
        <v>1474</v>
      </c>
      <c r="D21" s="261"/>
      <c r="E21" s="261">
        <f>1459+15</f>
        <v>1474</v>
      </c>
    </row>
    <row r="22" s="106" customFormat="1" ht="23.25" customHeight="1" spans="1:5">
      <c r="A22" s="260" t="s">
        <v>4574</v>
      </c>
      <c r="B22" s="260" t="s">
        <v>4575</v>
      </c>
      <c r="C22" s="258">
        <f t="shared" si="0"/>
        <v>16563</v>
      </c>
      <c r="D22" s="261"/>
      <c r="E22" s="261">
        <f>10+40+1763+14750</f>
        <v>16563</v>
      </c>
    </row>
    <row r="23" s="106" customFormat="1" ht="23.25" customHeight="1" spans="1:5">
      <c r="A23" s="260">
        <v>50303</v>
      </c>
      <c r="B23" s="260" t="s">
        <v>4576</v>
      </c>
      <c r="C23" s="258"/>
      <c r="D23" s="261"/>
      <c r="E23" s="261">
        <v>44</v>
      </c>
    </row>
    <row r="24" s="106" customFormat="1" ht="23.25" customHeight="1" spans="1:5">
      <c r="A24" s="260" t="s">
        <v>4577</v>
      </c>
      <c r="B24" s="260" t="s">
        <v>4578</v>
      </c>
      <c r="C24" s="258">
        <f t="shared" ref="C24:C62" si="1">D24+E24</f>
        <v>158</v>
      </c>
      <c r="D24" s="261">
        <v>78</v>
      </c>
      <c r="E24" s="261">
        <f>49+31</f>
        <v>80</v>
      </c>
    </row>
    <row r="25" s="106" customFormat="1" ht="23.25" customHeight="1" spans="1:5">
      <c r="A25" s="260" t="s">
        <v>4579</v>
      </c>
      <c r="B25" s="260" t="s">
        <v>4580</v>
      </c>
      <c r="C25" s="258">
        <f t="shared" si="1"/>
        <v>0</v>
      </c>
      <c r="D25" s="261"/>
      <c r="E25" s="261"/>
    </row>
    <row r="26" s="106" customFormat="1" ht="23.25" customHeight="1" spans="1:5">
      <c r="A26" s="260" t="s">
        <v>4581</v>
      </c>
      <c r="B26" s="260" t="s">
        <v>4582</v>
      </c>
      <c r="C26" s="258">
        <f t="shared" si="1"/>
        <v>51801</v>
      </c>
      <c r="D26" s="261"/>
      <c r="E26" s="261">
        <f>1256+3219+32896-4978-159+30000-10433</f>
        <v>51801</v>
      </c>
    </row>
    <row r="27" s="106" customFormat="1" ht="23.25" customHeight="1" spans="1:5">
      <c r="A27" s="259">
        <v>504</v>
      </c>
      <c r="B27" s="259" t="s">
        <v>4583</v>
      </c>
      <c r="C27" s="258">
        <f t="shared" si="1"/>
        <v>0</v>
      </c>
      <c r="D27" s="258">
        <f>SUM(D28:D31)</f>
        <v>0</v>
      </c>
      <c r="E27" s="258">
        <f>SUM(E28:E31)</f>
        <v>0</v>
      </c>
    </row>
    <row r="28" s="106" customFormat="1" ht="23.25" customHeight="1" spans="1:5">
      <c r="A28" s="260" t="s">
        <v>4584</v>
      </c>
      <c r="B28" s="260" t="s">
        <v>4573</v>
      </c>
      <c r="C28" s="258">
        <f t="shared" si="1"/>
        <v>0</v>
      </c>
      <c r="D28" s="261"/>
      <c r="E28" s="261"/>
    </row>
    <row r="29" s="106" customFormat="1" ht="23.25" customHeight="1" spans="1:5">
      <c r="A29" s="260" t="s">
        <v>4585</v>
      </c>
      <c r="B29" s="260" t="s">
        <v>4575</v>
      </c>
      <c r="C29" s="258">
        <f t="shared" si="1"/>
        <v>0</v>
      </c>
      <c r="D29" s="261"/>
      <c r="E29" s="261"/>
    </row>
    <row r="30" s="106" customFormat="1" ht="23.25" customHeight="1" spans="1:5">
      <c r="A30" s="260" t="s">
        <v>4586</v>
      </c>
      <c r="B30" s="260" t="s">
        <v>4578</v>
      </c>
      <c r="C30" s="258">
        <f t="shared" si="1"/>
        <v>0</v>
      </c>
      <c r="D30" s="261"/>
      <c r="E30" s="261"/>
    </row>
    <row r="31" s="106" customFormat="1" ht="23.25" customHeight="1" spans="1:5">
      <c r="A31" s="260" t="s">
        <v>4587</v>
      </c>
      <c r="B31" s="260" t="s">
        <v>4582</v>
      </c>
      <c r="C31" s="258">
        <f t="shared" si="1"/>
        <v>0</v>
      </c>
      <c r="D31" s="261"/>
      <c r="E31" s="261"/>
    </row>
    <row r="32" s="106" customFormat="1" ht="23.25" customHeight="1" spans="1:5">
      <c r="A32" s="259" t="s">
        <v>4588</v>
      </c>
      <c r="B32" s="259" t="s">
        <v>4589</v>
      </c>
      <c r="C32" s="258">
        <f t="shared" si="1"/>
        <v>92897</v>
      </c>
      <c r="D32" s="258">
        <f>SUM(D33:D35)</f>
        <v>87860</v>
      </c>
      <c r="E32" s="258">
        <f>SUM(E33:E35)</f>
        <v>5037</v>
      </c>
    </row>
    <row r="33" s="106" customFormat="1" ht="23.25" customHeight="1" spans="1:5">
      <c r="A33" s="260" t="s">
        <v>4590</v>
      </c>
      <c r="B33" s="260" t="s">
        <v>4591</v>
      </c>
      <c r="C33" s="258">
        <f t="shared" si="1"/>
        <v>85536</v>
      </c>
      <c r="D33" s="261">
        <v>82270</v>
      </c>
      <c r="E33" s="261">
        <f>3258+8</f>
        <v>3266</v>
      </c>
    </row>
    <row r="34" s="106" customFormat="1" ht="23.25" customHeight="1" spans="1:5">
      <c r="A34" s="260" t="s">
        <v>4592</v>
      </c>
      <c r="B34" s="260" t="s">
        <v>4593</v>
      </c>
      <c r="C34" s="258">
        <f t="shared" si="1"/>
        <v>7361</v>
      </c>
      <c r="D34" s="261">
        <v>5590</v>
      </c>
      <c r="E34" s="261">
        <v>1771</v>
      </c>
    </row>
    <row r="35" s="106" customFormat="1" ht="23.25" customHeight="1" spans="1:5">
      <c r="A35" s="260">
        <v>50599</v>
      </c>
      <c r="B35" s="260" t="s">
        <v>4594</v>
      </c>
      <c r="C35" s="258">
        <f t="shared" si="1"/>
        <v>0</v>
      </c>
      <c r="D35" s="261"/>
      <c r="E35" s="261"/>
    </row>
    <row r="36" s="106" customFormat="1" ht="23.25" customHeight="1" spans="1:5">
      <c r="A36" s="259" t="s">
        <v>4595</v>
      </c>
      <c r="B36" s="259" t="s">
        <v>4596</v>
      </c>
      <c r="C36" s="258">
        <f t="shared" si="1"/>
        <v>2157</v>
      </c>
      <c r="D36" s="258">
        <f>SUM(D37:D38)</f>
        <v>4</v>
      </c>
      <c r="E36" s="258">
        <f>SUM(E37:E38)</f>
        <v>2153</v>
      </c>
    </row>
    <row r="37" s="106" customFormat="1" ht="23.25" customHeight="1" spans="1:5">
      <c r="A37" s="260" t="s">
        <v>4597</v>
      </c>
      <c r="B37" s="260" t="s">
        <v>4598</v>
      </c>
      <c r="C37" s="258">
        <f t="shared" si="1"/>
        <v>2157</v>
      </c>
      <c r="D37" s="261">
        <v>4</v>
      </c>
      <c r="E37" s="261">
        <v>2153</v>
      </c>
    </row>
    <row r="38" s="106" customFormat="1" ht="23.25" customHeight="1" spans="1:5">
      <c r="A38" s="260" t="s">
        <v>4599</v>
      </c>
      <c r="B38" s="260" t="s">
        <v>4600</v>
      </c>
      <c r="C38" s="258">
        <f t="shared" si="1"/>
        <v>0</v>
      </c>
      <c r="D38" s="261"/>
      <c r="E38" s="261"/>
    </row>
    <row r="39" s="106" customFormat="1" ht="23.25" customHeight="1" spans="1:5">
      <c r="A39" s="259" t="s">
        <v>4601</v>
      </c>
      <c r="B39" s="259" t="s">
        <v>4602</v>
      </c>
      <c r="C39" s="258">
        <f t="shared" si="1"/>
        <v>0</v>
      </c>
      <c r="D39" s="258">
        <f>SUM(D40:D42)</f>
        <v>0</v>
      </c>
      <c r="E39" s="258">
        <f>SUM(E40:E42)</f>
        <v>0</v>
      </c>
    </row>
    <row r="40" s="106" customFormat="1" ht="23.25" customHeight="1" spans="1:5">
      <c r="A40" s="260" t="s">
        <v>4603</v>
      </c>
      <c r="B40" s="260" t="s">
        <v>4604</v>
      </c>
      <c r="C40" s="258">
        <f t="shared" si="1"/>
        <v>0</v>
      </c>
      <c r="D40" s="261"/>
      <c r="E40" s="261"/>
    </row>
    <row r="41" s="106" customFormat="1" ht="23.25" customHeight="1" spans="1:5">
      <c r="A41" s="260" t="s">
        <v>4605</v>
      </c>
      <c r="B41" s="260" t="s">
        <v>4606</v>
      </c>
      <c r="C41" s="258">
        <f t="shared" si="1"/>
        <v>0</v>
      </c>
      <c r="D41" s="261"/>
      <c r="E41" s="261"/>
    </row>
    <row r="42" s="106" customFormat="1" ht="23.25" customHeight="1" spans="1:5">
      <c r="A42" s="260" t="s">
        <v>4607</v>
      </c>
      <c r="B42" s="260" t="s">
        <v>4608</v>
      </c>
      <c r="C42" s="258">
        <f t="shared" si="1"/>
        <v>0</v>
      </c>
      <c r="D42" s="261"/>
      <c r="E42" s="261"/>
    </row>
    <row r="43" s="106" customFormat="1" ht="23.25" customHeight="1" spans="1:5">
      <c r="A43" s="259" t="s">
        <v>4609</v>
      </c>
      <c r="B43" s="259" t="s">
        <v>4610</v>
      </c>
      <c r="C43" s="258">
        <f t="shared" si="1"/>
        <v>53516</v>
      </c>
      <c r="D43" s="258">
        <f>SUM(D44:D48)</f>
        <v>11274</v>
      </c>
      <c r="E43" s="258">
        <f>SUM(E44:E48)</f>
        <v>42242</v>
      </c>
    </row>
    <row r="44" s="106" customFormat="1" ht="23.25" customHeight="1" spans="1:5">
      <c r="A44" s="260" t="s">
        <v>4611</v>
      </c>
      <c r="B44" s="260" t="s">
        <v>4612</v>
      </c>
      <c r="C44" s="258">
        <f t="shared" si="1"/>
        <v>25912</v>
      </c>
      <c r="D44" s="261">
        <v>5842</v>
      </c>
      <c r="E44" s="261">
        <f>3081+1085+159+15745</f>
        <v>20070</v>
      </c>
    </row>
    <row r="45" s="106" customFormat="1" ht="23.25" customHeight="1" spans="1:5">
      <c r="A45" s="260" t="s">
        <v>4613</v>
      </c>
      <c r="B45" s="260" t="s">
        <v>4614</v>
      </c>
      <c r="C45" s="258">
        <f t="shared" si="1"/>
        <v>2547</v>
      </c>
      <c r="D45" s="261"/>
      <c r="E45" s="261">
        <f>983+1564</f>
        <v>2547</v>
      </c>
    </row>
    <row r="46" s="106" customFormat="1" ht="23.25" customHeight="1" spans="1:5">
      <c r="A46" s="260" t="s">
        <v>4615</v>
      </c>
      <c r="B46" s="260" t="s">
        <v>4616</v>
      </c>
      <c r="C46" s="258">
        <f t="shared" si="1"/>
        <v>2450</v>
      </c>
      <c r="D46" s="261"/>
      <c r="E46" s="261">
        <f>100+2350</f>
        <v>2450</v>
      </c>
    </row>
    <row r="47" s="106" customFormat="1" ht="23.25" customHeight="1" spans="1:5">
      <c r="A47" s="260" t="s">
        <v>4617</v>
      </c>
      <c r="B47" s="260" t="s">
        <v>4618</v>
      </c>
      <c r="C47" s="258">
        <f t="shared" si="1"/>
        <v>5594</v>
      </c>
      <c r="D47" s="261">
        <v>5432</v>
      </c>
      <c r="E47" s="261">
        <v>162</v>
      </c>
    </row>
    <row r="48" s="106" customFormat="1" ht="23.25" customHeight="1" spans="1:5">
      <c r="A48" s="260" t="s">
        <v>4619</v>
      </c>
      <c r="B48" s="260" t="s">
        <v>4620</v>
      </c>
      <c r="C48" s="258">
        <f t="shared" si="1"/>
        <v>17013</v>
      </c>
      <c r="D48" s="261"/>
      <c r="E48" s="261">
        <f>6580+10433</f>
        <v>17013</v>
      </c>
    </row>
    <row r="49" s="106" customFormat="1" ht="23.25" customHeight="1" spans="1:5">
      <c r="A49" s="694" t="s">
        <v>4621</v>
      </c>
      <c r="B49" s="694" t="s">
        <v>4622</v>
      </c>
      <c r="C49" s="258">
        <f t="shared" si="1"/>
        <v>26208</v>
      </c>
      <c r="D49" s="258">
        <f>SUM(D50:D57)</f>
        <v>0</v>
      </c>
      <c r="E49" s="258">
        <f>SUM(E50:E51)</f>
        <v>26208</v>
      </c>
    </row>
    <row r="50" s="106" customFormat="1" ht="23.25" customHeight="1" spans="1:5">
      <c r="A50" s="260" t="s">
        <v>4623</v>
      </c>
      <c r="B50" s="260" t="s">
        <v>4624</v>
      </c>
      <c r="C50" s="258">
        <f t="shared" si="1"/>
        <v>26208</v>
      </c>
      <c r="D50" s="261"/>
      <c r="E50" s="261">
        <f>11342+14866</f>
        <v>26208</v>
      </c>
    </row>
    <row r="51" s="106" customFormat="1" ht="23.25" customHeight="1" spans="1:5">
      <c r="A51" s="260">
        <v>51003</v>
      </c>
      <c r="B51" s="260" t="s">
        <v>4625</v>
      </c>
      <c r="C51" s="258">
        <f t="shared" si="1"/>
        <v>0</v>
      </c>
      <c r="D51" s="261"/>
      <c r="E51" s="261"/>
    </row>
    <row r="52" s="106" customFormat="1" ht="23.25" customHeight="1" spans="1:5">
      <c r="A52" s="259" t="s">
        <v>4626</v>
      </c>
      <c r="B52" s="259" t="s">
        <v>4627</v>
      </c>
      <c r="C52" s="258">
        <f t="shared" si="1"/>
        <v>5774</v>
      </c>
      <c r="D52" s="258">
        <f t="shared" ref="D52:D56" si="2">SUM(D53)</f>
        <v>0</v>
      </c>
      <c r="E52" s="258">
        <f t="shared" ref="E52:E56" si="3">SUM(E53)</f>
        <v>5774</v>
      </c>
    </row>
    <row r="53" s="106" customFormat="1" ht="23.25" customHeight="1" spans="1:5">
      <c r="A53" s="260" t="s">
        <v>4628</v>
      </c>
      <c r="B53" s="260" t="s">
        <v>4629</v>
      </c>
      <c r="C53" s="258">
        <f t="shared" si="1"/>
        <v>5774</v>
      </c>
      <c r="D53" s="261"/>
      <c r="E53" s="261">
        <v>5774</v>
      </c>
    </row>
    <row r="54" s="106" customFormat="1" ht="23.25" customHeight="1" spans="1:5">
      <c r="A54" s="694" t="s">
        <v>4630</v>
      </c>
      <c r="B54" s="694" t="s">
        <v>4631</v>
      </c>
      <c r="C54" s="258">
        <f t="shared" si="1"/>
        <v>0</v>
      </c>
      <c r="D54" s="258">
        <f t="shared" si="2"/>
        <v>0</v>
      </c>
      <c r="E54" s="258">
        <f t="shared" si="3"/>
        <v>0</v>
      </c>
    </row>
    <row r="55" s="106" customFormat="1" ht="23.25" customHeight="1" spans="1:5">
      <c r="A55" s="260" t="s">
        <v>4628</v>
      </c>
      <c r="B55" s="695" t="s">
        <v>4632</v>
      </c>
      <c r="C55" s="258">
        <f t="shared" si="1"/>
        <v>0</v>
      </c>
      <c r="D55" s="261"/>
      <c r="E55" s="261"/>
    </row>
    <row r="56" s="106" customFormat="1" ht="23.25" customHeight="1" spans="1:5">
      <c r="A56" s="694" t="s">
        <v>4633</v>
      </c>
      <c r="B56" s="694" t="s">
        <v>4634</v>
      </c>
      <c r="C56" s="258">
        <f t="shared" si="1"/>
        <v>0</v>
      </c>
      <c r="D56" s="258">
        <f t="shared" si="2"/>
        <v>0</v>
      </c>
      <c r="E56" s="258">
        <f t="shared" si="3"/>
        <v>0</v>
      </c>
    </row>
    <row r="57" s="106" customFormat="1" ht="23.25" customHeight="1" spans="1:5">
      <c r="A57" s="260">
        <v>51301</v>
      </c>
      <c r="B57" s="260" t="s">
        <v>4635</v>
      </c>
      <c r="C57" s="258">
        <f t="shared" si="1"/>
        <v>0</v>
      </c>
      <c r="D57" s="261"/>
      <c r="E57" s="261"/>
    </row>
    <row r="58" s="106" customFormat="1" ht="23.25" customHeight="1" spans="1:5">
      <c r="A58" s="694" t="s">
        <v>4636</v>
      </c>
      <c r="B58" s="694" t="s">
        <v>4637</v>
      </c>
      <c r="C58" s="258">
        <f t="shared" si="1"/>
        <v>17136</v>
      </c>
      <c r="D58" s="258">
        <f>SUM(D59:D60)</f>
        <v>0</v>
      </c>
      <c r="E58" s="258">
        <f>SUM(E59:E60)</f>
        <v>17136</v>
      </c>
    </row>
    <row r="59" s="106" customFormat="1" ht="23.25" customHeight="1" spans="1:5">
      <c r="A59" s="260">
        <v>51401</v>
      </c>
      <c r="B59" s="260" t="s">
        <v>4638</v>
      </c>
      <c r="C59" s="258">
        <f t="shared" si="1"/>
        <v>2100</v>
      </c>
      <c r="D59" s="261"/>
      <c r="E59" s="261">
        <v>2100</v>
      </c>
    </row>
    <row r="60" s="106" customFormat="1" ht="23.25" customHeight="1" spans="1:5">
      <c r="A60" s="260">
        <v>51402</v>
      </c>
      <c r="B60" s="260" t="s">
        <v>4639</v>
      </c>
      <c r="C60" s="258">
        <f t="shared" si="1"/>
        <v>15036</v>
      </c>
      <c r="D60" s="261"/>
      <c r="E60" s="261">
        <v>15036</v>
      </c>
    </row>
    <row r="61" s="106" customFormat="1" ht="23.25" customHeight="1" spans="1:5">
      <c r="A61" s="259">
        <v>599</v>
      </c>
      <c r="B61" s="259" t="s">
        <v>4640</v>
      </c>
      <c r="C61" s="258">
        <f t="shared" si="1"/>
        <v>2</v>
      </c>
      <c r="D61" s="258">
        <f>SUM(D62:D62)</f>
        <v>0</v>
      </c>
      <c r="E61" s="258">
        <f>SUM(E62:E62)</f>
        <v>2</v>
      </c>
    </row>
    <row r="62" spans="1:5">
      <c r="A62" s="260">
        <v>59999</v>
      </c>
      <c r="B62" s="260" t="s">
        <v>4641</v>
      </c>
      <c r="C62" s="258">
        <f t="shared" si="1"/>
        <v>2</v>
      </c>
      <c r="D62" s="261"/>
      <c r="E62" s="261">
        <v>2</v>
      </c>
    </row>
  </sheetData>
  <mergeCells count="1">
    <mergeCell ref="A1:E1"/>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workbookViewId="0">
      <selection activeCell="J21" sqref="J21"/>
    </sheetView>
  </sheetViews>
  <sheetFormatPr defaultColWidth="9" defaultRowHeight="15.75"/>
  <cols>
    <col min="1" max="1" width="12.5" style="253" customWidth="1"/>
    <col min="2" max="2" width="24" style="253" customWidth="1"/>
    <col min="3" max="4" width="14.25" style="253" customWidth="1"/>
    <col min="5" max="16384" width="9" style="253"/>
  </cols>
  <sheetData>
    <row r="1" s="253" customFormat="1" ht="36.75" customHeight="1" spans="1:4">
      <c r="A1" s="693" t="s">
        <v>4642</v>
      </c>
      <c r="B1" s="254"/>
      <c r="C1" s="254"/>
      <c r="D1" s="254"/>
    </row>
    <row r="2" s="253" customFormat="1" ht="18" customHeight="1" spans="1:4">
      <c r="A2" s="105"/>
      <c r="B2" s="105"/>
      <c r="C2" s="105"/>
      <c r="D2" s="105"/>
    </row>
    <row r="3" s="253" customFormat="1" ht="37.5" customHeight="1" spans="1:4">
      <c r="A3" s="255" t="s">
        <v>4534</v>
      </c>
      <c r="B3" s="255" t="s">
        <v>4535</v>
      </c>
      <c r="C3" s="255" t="s">
        <v>4536</v>
      </c>
      <c r="D3" s="255" t="s">
        <v>4537</v>
      </c>
    </row>
    <row r="4" s="106" customFormat="1" ht="23.25" customHeight="1" spans="1:4">
      <c r="A4" s="256"/>
      <c r="B4" s="257" t="s">
        <v>4539</v>
      </c>
      <c r="C4" s="258">
        <f t="shared" ref="C4:C22" si="0">D4+E4</f>
        <v>141559</v>
      </c>
      <c r="D4" s="258">
        <f>D5+D10+D20+D32+D36+D43+D52+D27+D56+D58+D49+D54+D39+D61</f>
        <v>141559</v>
      </c>
    </row>
    <row r="5" s="106" customFormat="1" ht="23.25" customHeight="1" spans="1:4">
      <c r="A5" s="259" t="s">
        <v>4540</v>
      </c>
      <c r="B5" s="259" t="s">
        <v>4541</v>
      </c>
      <c r="C5" s="258">
        <f t="shared" si="0"/>
        <v>35865</v>
      </c>
      <c r="D5" s="258">
        <f>SUM(D6:D9)</f>
        <v>35865</v>
      </c>
    </row>
    <row r="6" s="106" customFormat="1" ht="23.25" customHeight="1" spans="1:4">
      <c r="A6" s="260" t="s">
        <v>4542</v>
      </c>
      <c r="B6" s="260" t="s">
        <v>4543</v>
      </c>
      <c r="C6" s="258">
        <f t="shared" si="0"/>
        <v>23222</v>
      </c>
      <c r="D6" s="261">
        <v>23222</v>
      </c>
    </row>
    <row r="7" s="106" customFormat="1" ht="23.25" customHeight="1" spans="1:4">
      <c r="A7" s="260" t="s">
        <v>4544</v>
      </c>
      <c r="B7" s="260" t="s">
        <v>4545</v>
      </c>
      <c r="C7" s="258">
        <f t="shared" si="0"/>
        <v>8430</v>
      </c>
      <c r="D7" s="261">
        <v>8430</v>
      </c>
    </row>
    <row r="8" s="106" customFormat="1" ht="23.25" customHeight="1" spans="1:4">
      <c r="A8" s="260" t="s">
        <v>4546</v>
      </c>
      <c r="B8" s="260" t="s">
        <v>4547</v>
      </c>
      <c r="C8" s="258">
        <f t="shared" si="0"/>
        <v>3109</v>
      </c>
      <c r="D8" s="261">
        <v>3109</v>
      </c>
    </row>
    <row r="9" s="106" customFormat="1" ht="23.25" customHeight="1" spans="1:4">
      <c r="A9" s="260" t="s">
        <v>4548</v>
      </c>
      <c r="B9" s="260" t="s">
        <v>4549</v>
      </c>
      <c r="C9" s="258">
        <f t="shared" si="0"/>
        <v>1104</v>
      </c>
      <c r="D9" s="261">
        <v>1104</v>
      </c>
    </row>
    <row r="10" s="106" customFormat="1" ht="23.25" customHeight="1" spans="1:4">
      <c r="A10" s="259" t="s">
        <v>4550</v>
      </c>
      <c r="B10" s="259" t="s">
        <v>4551</v>
      </c>
      <c r="C10" s="258">
        <f t="shared" si="0"/>
        <v>6478</v>
      </c>
      <c r="D10" s="258">
        <f>SUM(D11:D19)</f>
        <v>6478</v>
      </c>
    </row>
    <row r="11" s="106" customFormat="1" ht="23.25" customHeight="1" spans="1:4">
      <c r="A11" s="260" t="s">
        <v>4552</v>
      </c>
      <c r="B11" s="260" t="s">
        <v>4553</v>
      </c>
      <c r="C11" s="258">
        <f t="shared" si="0"/>
        <v>4251</v>
      </c>
      <c r="D11" s="261">
        <v>4251</v>
      </c>
    </row>
    <row r="12" s="106" customFormat="1" ht="23.25" customHeight="1" spans="1:9">
      <c r="A12" s="260" t="s">
        <v>4554</v>
      </c>
      <c r="B12" s="262" t="s">
        <v>4555</v>
      </c>
      <c r="C12" s="258">
        <f t="shared" si="0"/>
        <v>45</v>
      </c>
      <c r="D12" s="261">
        <v>45</v>
      </c>
      <c r="G12" s="263"/>
      <c r="H12" s="264"/>
      <c r="I12" s="264"/>
    </row>
    <row r="13" s="106" customFormat="1" ht="23.25" customHeight="1" spans="1:9">
      <c r="A13" s="260" t="s">
        <v>4556</v>
      </c>
      <c r="B13" s="262" t="s">
        <v>4557</v>
      </c>
      <c r="C13" s="258">
        <f t="shared" si="0"/>
        <v>40</v>
      </c>
      <c r="D13" s="261">
        <v>40</v>
      </c>
      <c r="G13" s="263"/>
      <c r="H13" s="264"/>
      <c r="I13" s="264"/>
    </row>
    <row r="14" s="106" customFormat="1" ht="23.25" customHeight="1" spans="1:9">
      <c r="A14" s="260" t="s">
        <v>4558</v>
      </c>
      <c r="B14" s="260" t="s">
        <v>4559</v>
      </c>
      <c r="C14" s="258">
        <f t="shared" si="0"/>
        <v>1</v>
      </c>
      <c r="D14" s="261">
        <v>1</v>
      </c>
      <c r="G14" s="263"/>
      <c r="H14" s="264"/>
      <c r="I14" s="264"/>
    </row>
    <row r="15" s="106" customFormat="1" ht="23.25" customHeight="1" spans="1:9">
      <c r="A15" s="260" t="s">
        <v>4560</v>
      </c>
      <c r="B15" s="260" t="s">
        <v>4561</v>
      </c>
      <c r="C15" s="258">
        <f t="shared" si="0"/>
        <v>274</v>
      </c>
      <c r="D15" s="261">
        <v>274</v>
      </c>
      <c r="G15" s="263"/>
      <c r="H15" s="264"/>
      <c r="I15" s="264"/>
    </row>
    <row r="16" s="106" customFormat="1" ht="23.25" customHeight="1" spans="1:9">
      <c r="A16" s="260" t="s">
        <v>4562</v>
      </c>
      <c r="B16" s="262" t="s">
        <v>4563</v>
      </c>
      <c r="C16" s="258">
        <f t="shared" si="0"/>
        <v>64</v>
      </c>
      <c r="D16" s="261">
        <v>64</v>
      </c>
      <c r="G16" s="263"/>
      <c r="H16" s="264"/>
      <c r="I16" s="264"/>
    </row>
    <row r="17" s="106" customFormat="1" ht="23.25" customHeight="1" spans="1:9">
      <c r="A17" s="260" t="s">
        <v>4564</v>
      </c>
      <c r="B17" s="262" t="s">
        <v>4565</v>
      </c>
      <c r="C17" s="258">
        <f t="shared" si="0"/>
        <v>353</v>
      </c>
      <c r="D17" s="261">
        <v>353</v>
      </c>
      <c r="G17" s="263"/>
      <c r="H17" s="264"/>
      <c r="I17" s="264"/>
    </row>
    <row r="18" s="106" customFormat="1" ht="23.25" customHeight="1" spans="1:4">
      <c r="A18" s="260" t="s">
        <v>4566</v>
      </c>
      <c r="B18" s="260" t="s">
        <v>4567</v>
      </c>
      <c r="C18" s="258">
        <f t="shared" si="0"/>
        <v>106</v>
      </c>
      <c r="D18" s="261">
        <v>106</v>
      </c>
    </row>
    <row r="19" s="106" customFormat="1" ht="23.25" customHeight="1" spans="1:4">
      <c r="A19" s="260" t="s">
        <v>4568</v>
      </c>
      <c r="B19" s="260" t="s">
        <v>4569</v>
      </c>
      <c r="C19" s="258">
        <f t="shared" si="0"/>
        <v>1344</v>
      </c>
      <c r="D19" s="261">
        <v>1344</v>
      </c>
    </row>
    <row r="20" s="106" customFormat="1" ht="23.25" customHeight="1" spans="1:4">
      <c r="A20" s="259" t="s">
        <v>4570</v>
      </c>
      <c r="B20" s="259" t="s">
        <v>4571</v>
      </c>
      <c r="C20" s="258">
        <f t="shared" si="0"/>
        <v>78</v>
      </c>
      <c r="D20" s="258">
        <f>SUM(D21:D26)</f>
        <v>78</v>
      </c>
    </row>
    <row r="21" s="106" customFormat="1" ht="23.25" customHeight="1" spans="1:4">
      <c r="A21" s="260" t="s">
        <v>4572</v>
      </c>
      <c r="B21" s="260" t="s">
        <v>4573</v>
      </c>
      <c r="C21" s="258">
        <f t="shared" si="0"/>
        <v>0</v>
      </c>
      <c r="D21" s="261"/>
    </row>
    <row r="22" s="106" customFormat="1" ht="23.25" customHeight="1" spans="1:4">
      <c r="A22" s="260" t="s">
        <v>4574</v>
      </c>
      <c r="B22" s="260" t="s">
        <v>4575</v>
      </c>
      <c r="C22" s="258">
        <f t="shared" si="0"/>
        <v>0</v>
      </c>
      <c r="D22" s="261"/>
    </row>
    <row r="23" s="106" customFormat="1" ht="23.25" customHeight="1" spans="1:4">
      <c r="A23" s="260">
        <v>50303</v>
      </c>
      <c r="B23" s="260" t="s">
        <v>4576</v>
      </c>
      <c r="C23" s="258"/>
      <c r="D23" s="261"/>
    </row>
    <row r="24" s="106" customFormat="1" ht="23.25" customHeight="1" spans="1:4">
      <c r="A24" s="260" t="s">
        <v>4577</v>
      </c>
      <c r="B24" s="260" t="s">
        <v>4578</v>
      </c>
      <c r="C24" s="258">
        <f t="shared" ref="C24:C62" si="1">D24+E24</f>
        <v>78</v>
      </c>
      <c r="D24" s="261">
        <v>78</v>
      </c>
    </row>
    <row r="25" s="106" customFormat="1" ht="23.25" customHeight="1" spans="1:4">
      <c r="A25" s="260" t="s">
        <v>4579</v>
      </c>
      <c r="B25" s="260" t="s">
        <v>4580</v>
      </c>
      <c r="C25" s="258">
        <f t="shared" si="1"/>
        <v>0</v>
      </c>
      <c r="D25" s="261"/>
    </row>
    <row r="26" s="106" customFormat="1" ht="23.25" customHeight="1" spans="1:4">
      <c r="A26" s="260" t="s">
        <v>4581</v>
      </c>
      <c r="B26" s="260" t="s">
        <v>4582</v>
      </c>
      <c r="C26" s="258">
        <f t="shared" si="1"/>
        <v>0</v>
      </c>
      <c r="D26" s="261"/>
    </row>
    <row r="27" s="106" customFormat="1" ht="23.25" customHeight="1" spans="1:4">
      <c r="A27" s="259">
        <v>504</v>
      </c>
      <c r="B27" s="259" t="s">
        <v>4583</v>
      </c>
      <c r="C27" s="258">
        <f t="shared" si="1"/>
        <v>0</v>
      </c>
      <c r="D27" s="258">
        <f>SUM(D28:D31)</f>
        <v>0</v>
      </c>
    </row>
    <row r="28" s="106" customFormat="1" ht="23.25" customHeight="1" spans="1:4">
      <c r="A28" s="260" t="s">
        <v>4584</v>
      </c>
      <c r="B28" s="260" t="s">
        <v>4573</v>
      </c>
      <c r="C28" s="258">
        <f t="shared" si="1"/>
        <v>0</v>
      </c>
      <c r="D28" s="261"/>
    </row>
    <row r="29" s="106" customFormat="1" ht="23.25" customHeight="1" spans="1:4">
      <c r="A29" s="260" t="s">
        <v>4585</v>
      </c>
      <c r="B29" s="260" t="s">
        <v>4575</v>
      </c>
      <c r="C29" s="258">
        <f t="shared" si="1"/>
        <v>0</v>
      </c>
      <c r="D29" s="261"/>
    </row>
    <row r="30" s="106" customFormat="1" ht="23.25" customHeight="1" spans="1:4">
      <c r="A30" s="260" t="s">
        <v>4586</v>
      </c>
      <c r="B30" s="260" t="s">
        <v>4578</v>
      </c>
      <c r="C30" s="258">
        <f t="shared" si="1"/>
        <v>0</v>
      </c>
      <c r="D30" s="261"/>
    </row>
    <row r="31" s="106" customFormat="1" ht="23.25" customHeight="1" spans="1:4">
      <c r="A31" s="260" t="s">
        <v>4587</v>
      </c>
      <c r="B31" s="260" t="s">
        <v>4582</v>
      </c>
      <c r="C31" s="258">
        <f t="shared" si="1"/>
        <v>0</v>
      </c>
      <c r="D31" s="261"/>
    </row>
    <row r="32" s="106" customFormat="1" ht="23.25" customHeight="1" spans="1:4">
      <c r="A32" s="259" t="s">
        <v>4588</v>
      </c>
      <c r="B32" s="259" t="s">
        <v>4589</v>
      </c>
      <c r="C32" s="258">
        <f t="shared" si="1"/>
        <v>87860</v>
      </c>
      <c r="D32" s="258">
        <f>SUM(D33:D35)</f>
        <v>87860</v>
      </c>
    </row>
    <row r="33" s="106" customFormat="1" ht="23.25" customHeight="1" spans="1:4">
      <c r="A33" s="260" t="s">
        <v>4590</v>
      </c>
      <c r="B33" s="260" t="s">
        <v>4591</v>
      </c>
      <c r="C33" s="258">
        <f t="shared" si="1"/>
        <v>82270</v>
      </c>
      <c r="D33" s="261">
        <v>82270</v>
      </c>
    </row>
    <row r="34" s="106" customFormat="1" ht="23.25" customHeight="1" spans="1:4">
      <c r="A34" s="260" t="s">
        <v>4592</v>
      </c>
      <c r="B34" s="260" t="s">
        <v>4593</v>
      </c>
      <c r="C34" s="258">
        <f t="shared" si="1"/>
        <v>5590</v>
      </c>
      <c r="D34" s="261">
        <v>5590</v>
      </c>
    </row>
    <row r="35" s="106" customFormat="1" ht="23.25" customHeight="1" spans="1:4">
      <c r="A35" s="260">
        <v>50599</v>
      </c>
      <c r="B35" s="260" t="s">
        <v>4594</v>
      </c>
      <c r="C35" s="258">
        <f t="shared" si="1"/>
        <v>0</v>
      </c>
      <c r="D35" s="261"/>
    </row>
    <row r="36" s="106" customFormat="1" ht="23.25" customHeight="1" spans="1:4">
      <c r="A36" s="259" t="s">
        <v>4595</v>
      </c>
      <c r="B36" s="259" t="s">
        <v>4596</v>
      </c>
      <c r="C36" s="258">
        <f t="shared" si="1"/>
        <v>4</v>
      </c>
      <c r="D36" s="258">
        <f>SUM(D37:D38)</f>
        <v>4</v>
      </c>
    </row>
    <row r="37" s="106" customFormat="1" ht="23.25" customHeight="1" spans="1:4">
      <c r="A37" s="260" t="s">
        <v>4597</v>
      </c>
      <c r="B37" s="260" t="s">
        <v>4598</v>
      </c>
      <c r="C37" s="258">
        <f t="shared" si="1"/>
        <v>4</v>
      </c>
      <c r="D37" s="261">
        <v>4</v>
      </c>
    </row>
    <row r="38" s="106" customFormat="1" ht="23.25" customHeight="1" spans="1:4">
      <c r="A38" s="260" t="s">
        <v>4599</v>
      </c>
      <c r="B38" s="260" t="s">
        <v>4600</v>
      </c>
      <c r="C38" s="258">
        <f t="shared" si="1"/>
        <v>0</v>
      </c>
      <c r="D38" s="261"/>
    </row>
    <row r="39" s="106" customFormat="1" ht="23.25" customHeight="1" spans="1:4">
      <c r="A39" s="259" t="s">
        <v>4601</v>
      </c>
      <c r="B39" s="259" t="s">
        <v>4602</v>
      </c>
      <c r="C39" s="258">
        <f t="shared" si="1"/>
        <v>0</v>
      </c>
      <c r="D39" s="258">
        <f>SUM(D40:D42)</f>
        <v>0</v>
      </c>
    </row>
    <row r="40" s="106" customFormat="1" ht="23.25" customHeight="1" spans="1:4">
      <c r="A40" s="260" t="s">
        <v>4603</v>
      </c>
      <c r="B40" s="260" t="s">
        <v>4604</v>
      </c>
      <c r="C40" s="258">
        <f t="shared" si="1"/>
        <v>0</v>
      </c>
      <c r="D40" s="261"/>
    </row>
    <row r="41" s="106" customFormat="1" ht="23.25" customHeight="1" spans="1:4">
      <c r="A41" s="260" t="s">
        <v>4605</v>
      </c>
      <c r="B41" s="260" t="s">
        <v>4606</v>
      </c>
      <c r="C41" s="258">
        <f t="shared" si="1"/>
        <v>0</v>
      </c>
      <c r="D41" s="261"/>
    </row>
    <row r="42" s="106" customFormat="1" ht="23.25" customHeight="1" spans="1:4">
      <c r="A42" s="260" t="s">
        <v>4607</v>
      </c>
      <c r="B42" s="260" t="s">
        <v>4608</v>
      </c>
      <c r="C42" s="258">
        <f t="shared" si="1"/>
        <v>0</v>
      </c>
      <c r="D42" s="261"/>
    </row>
    <row r="43" s="106" customFormat="1" ht="23.25" customHeight="1" spans="1:4">
      <c r="A43" s="259" t="s">
        <v>4609</v>
      </c>
      <c r="B43" s="259" t="s">
        <v>4610</v>
      </c>
      <c r="C43" s="258">
        <f t="shared" si="1"/>
        <v>11274</v>
      </c>
      <c r="D43" s="258">
        <f>SUM(D44:D48)</f>
        <v>11274</v>
      </c>
    </row>
    <row r="44" s="106" customFormat="1" ht="23.25" customHeight="1" spans="1:4">
      <c r="A44" s="260" t="s">
        <v>4611</v>
      </c>
      <c r="B44" s="260" t="s">
        <v>4612</v>
      </c>
      <c r="C44" s="258">
        <f t="shared" si="1"/>
        <v>5842</v>
      </c>
      <c r="D44" s="261">
        <v>5842</v>
      </c>
    </row>
    <row r="45" s="106" customFormat="1" ht="23.25" customHeight="1" spans="1:4">
      <c r="A45" s="260" t="s">
        <v>4613</v>
      </c>
      <c r="B45" s="260" t="s">
        <v>4614</v>
      </c>
      <c r="C45" s="258">
        <f t="shared" si="1"/>
        <v>0</v>
      </c>
      <c r="D45" s="261"/>
    </row>
    <row r="46" s="106" customFormat="1" ht="23.25" customHeight="1" spans="1:4">
      <c r="A46" s="260" t="s">
        <v>4615</v>
      </c>
      <c r="B46" s="260" t="s">
        <v>4616</v>
      </c>
      <c r="C46" s="258">
        <f t="shared" si="1"/>
        <v>0</v>
      </c>
      <c r="D46" s="261"/>
    </row>
    <row r="47" s="106" customFormat="1" ht="23.25" customHeight="1" spans="1:4">
      <c r="A47" s="260" t="s">
        <v>4617</v>
      </c>
      <c r="B47" s="260" t="s">
        <v>4618</v>
      </c>
      <c r="C47" s="258">
        <f t="shared" si="1"/>
        <v>5432</v>
      </c>
      <c r="D47" s="261">
        <v>5432</v>
      </c>
    </row>
    <row r="48" s="106" customFormat="1" ht="23.25" customHeight="1" spans="1:4">
      <c r="A48" s="260" t="s">
        <v>4619</v>
      </c>
      <c r="B48" s="260" t="s">
        <v>4620</v>
      </c>
      <c r="C48" s="258">
        <f t="shared" si="1"/>
        <v>0</v>
      </c>
      <c r="D48" s="261"/>
    </row>
    <row r="49" s="106" customFormat="1" ht="23.25" customHeight="1" spans="1:4">
      <c r="A49" s="694" t="s">
        <v>4621</v>
      </c>
      <c r="B49" s="694" t="s">
        <v>4622</v>
      </c>
      <c r="C49" s="258">
        <f t="shared" si="1"/>
        <v>0</v>
      </c>
      <c r="D49" s="258">
        <f>SUM(D50:D57)</f>
        <v>0</v>
      </c>
    </row>
    <row r="50" s="106" customFormat="1" ht="23.25" customHeight="1" spans="1:4">
      <c r="A50" s="260" t="s">
        <v>4623</v>
      </c>
      <c r="B50" s="260" t="s">
        <v>4624</v>
      </c>
      <c r="C50" s="258">
        <f t="shared" si="1"/>
        <v>0</v>
      </c>
      <c r="D50" s="261"/>
    </row>
    <row r="51" s="106" customFormat="1" ht="23.25" customHeight="1" spans="1:4">
      <c r="A51" s="260">
        <v>51003</v>
      </c>
      <c r="B51" s="260" t="s">
        <v>4625</v>
      </c>
      <c r="C51" s="258">
        <f t="shared" si="1"/>
        <v>0</v>
      </c>
      <c r="D51" s="261"/>
    </row>
    <row r="52" s="106" customFormat="1" ht="23.25" customHeight="1" spans="1:4">
      <c r="A52" s="259" t="s">
        <v>4626</v>
      </c>
      <c r="B52" s="259" t="s">
        <v>4627</v>
      </c>
      <c r="C52" s="258">
        <f t="shared" si="1"/>
        <v>0</v>
      </c>
      <c r="D52" s="258">
        <f t="shared" ref="D52:D56" si="2">SUM(D53)</f>
        <v>0</v>
      </c>
    </row>
    <row r="53" s="106" customFormat="1" ht="23.25" customHeight="1" spans="1:4">
      <c r="A53" s="260" t="s">
        <v>4628</v>
      </c>
      <c r="B53" s="260" t="s">
        <v>4629</v>
      </c>
      <c r="C53" s="258">
        <f t="shared" si="1"/>
        <v>0</v>
      </c>
      <c r="D53" s="261"/>
    </row>
    <row r="54" s="106" customFormat="1" ht="23.25" customHeight="1" spans="1:4">
      <c r="A54" s="694" t="s">
        <v>4630</v>
      </c>
      <c r="B54" s="694" t="s">
        <v>4631</v>
      </c>
      <c r="C54" s="258">
        <f t="shared" si="1"/>
        <v>0</v>
      </c>
      <c r="D54" s="258">
        <f t="shared" si="2"/>
        <v>0</v>
      </c>
    </row>
    <row r="55" s="106" customFormat="1" ht="23.25" customHeight="1" spans="1:4">
      <c r="A55" s="260" t="s">
        <v>4628</v>
      </c>
      <c r="B55" s="695" t="s">
        <v>4632</v>
      </c>
      <c r="C55" s="258">
        <f t="shared" si="1"/>
        <v>0</v>
      </c>
      <c r="D55" s="261"/>
    </row>
    <row r="56" s="106" customFormat="1" ht="23.25" customHeight="1" spans="1:4">
      <c r="A56" s="694" t="s">
        <v>4633</v>
      </c>
      <c r="B56" s="694" t="s">
        <v>4634</v>
      </c>
      <c r="C56" s="258">
        <f t="shared" si="1"/>
        <v>0</v>
      </c>
      <c r="D56" s="258">
        <f t="shared" si="2"/>
        <v>0</v>
      </c>
    </row>
    <row r="57" s="106" customFormat="1" ht="23.25" customHeight="1" spans="1:4">
      <c r="A57" s="260">
        <v>51301</v>
      </c>
      <c r="B57" s="260" t="s">
        <v>4635</v>
      </c>
      <c r="C57" s="258">
        <f t="shared" si="1"/>
        <v>0</v>
      </c>
      <c r="D57" s="261"/>
    </row>
    <row r="58" s="106" customFormat="1" ht="23.25" customHeight="1" spans="1:4">
      <c r="A58" s="694" t="s">
        <v>4636</v>
      </c>
      <c r="B58" s="694" t="s">
        <v>4637</v>
      </c>
      <c r="C58" s="258">
        <f t="shared" si="1"/>
        <v>0</v>
      </c>
      <c r="D58" s="258">
        <f>SUM(D59:D60)</f>
        <v>0</v>
      </c>
    </row>
    <row r="59" s="106" customFormat="1" ht="23.25" customHeight="1" spans="1:4">
      <c r="A59" s="260">
        <v>51401</v>
      </c>
      <c r="B59" s="260" t="s">
        <v>4638</v>
      </c>
      <c r="C59" s="258">
        <f t="shared" si="1"/>
        <v>0</v>
      </c>
      <c r="D59" s="261"/>
    </row>
    <row r="60" s="106" customFormat="1" ht="23.25" customHeight="1" spans="1:4">
      <c r="A60" s="260">
        <v>51402</v>
      </c>
      <c r="B60" s="260" t="s">
        <v>4639</v>
      </c>
      <c r="C60" s="258">
        <f t="shared" si="1"/>
        <v>0</v>
      </c>
      <c r="D60" s="261"/>
    </row>
    <row r="61" s="106" customFormat="1" ht="23.25" customHeight="1" spans="1:4">
      <c r="A61" s="259">
        <v>599</v>
      </c>
      <c r="B61" s="259" t="s">
        <v>4640</v>
      </c>
      <c r="C61" s="258">
        <f t="shared" si="1"/>
        <v>0</v>
      </c>
      <c r="D61" s="258">
        <f>SUM(D62:D62)</f>
        <v>0</v>
      </c>
    </row>
    <row r="62" spans="1:4">
      <c r="A62" s="260">
        <v>59999</v>
      </c>
      <c r="B62" s="260" t="s">
        <v>4641</v>
      </c>
      <c r="C62" s="258">
        <f t="shared" si="1"/>
        <v>0</v>
      </c>
      <c r="D62" s="261"/>
    </row>
  </sheetData>
  <mergeCells count="1">
    <mergeCell ref="A1:D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workbookViewId="0">
      <selection activeCell="A3" sqref="$A3:$XFD95"/>
    </sheetView>
  </sheetViews>
  <sheetFormatPr defaultColWidth="9" defaultRowHeight="12.75"/>
  <cols>
    <col min="1" max="1" width="35.3416666666667" style="213" customWidth="1"/>
    <col min="2" max="3" width="11.025" style="213" customWidth="1"/>
    <col min="4" max="5" width="10.625" style="213" customWidth="1"/>
    <col min="6" max="6" width="32.625" style="213" customWidth="1"/>
    <col min="7" max="7" width="10.75" style="213" customWidth="1"/>
    <col min="8" max="10" width="10.375" style="213" customWidth="1"/>
    <col min="11" max="11" width="9" style="213"/>
    <col min="12" max="12" width="8.875" style="213" customWidth="1"/>
    <col min="13" max="16384" width="9" style="213"/>
  </cols>
  <sheetData>
    <row r="1" s="213" customFormat="1" ht="24.75" customHeight="1" spans="1:10">
      <c r="A1" s="696" t="s">
        <v>23</v>
      </c>
      <c r="B1" s="216"/>
      <c r="C1" s="216"/>
      <c r="D1" s="216"/>
      <c r="E1" s="216"/>
      <c r="F1" s="216"/>
      <c r="G1" s="216"/>
      <c r="H1" s="216"/>
      <c r="I1" s="216"/>
      <c r="J1" s="216"/>
    </row>
    <row r="2" s="213" customFormat="1" ht="17.25" customHeight="1" spans="1:10">
      <c r="A2" s="217"/>
      <c r="B2" s="218"/>
      <c r="C2" s="218"/>
      <c r="D2" s="218"/>
      <c r="E2" s="218"/>
      <c r="F2" s="218"/>
      <c r="G2" s="237" t="s">
        <v>4533</v>
      </c>
      <c r="H2" s="237"/>
      <c r="I2" s="237"/>
      <c r="J2" s="237"/>
    </row>
    <row r="3" s="214" customFormat="1" ht="18" customHeight="1" spans="1:10">
      <c r="A3" s="219" t="s">
        <v>86</v>
      </c>
      <c r="B3" s="220"/>
      <c r="C3" s="220"/>
      <c r="D3" s="221"/>
      <c r="E3" s="221"/>
      <c r="F3" s="238" t="s">
        <v>88</v>
      </c>
      <c r="G3" s="239"/>
      <c r="H3" s="239"/>
      <c r="I3" s="220"/>
      <c r="J3" s="245"/>
    </row>
    <row r="4" s="214" customFormat="1" ht="30" customHeight="1" spans="1:10">
      <c r="A4" s="222" t="s">
        <v>89</v>
      </c>
      <c r="B4" s="223" t="s">
        <v>4643</v>
      </c>
      <c r="C4" s="697" t="s">
        <v>4644</v>
      </c>
      <c r="D4" s="223" t="s">
        <v>4645</v>
      </c>
      <c r="E4" s="240" t="s">
        <v>4646</v>
      </c>
      <c r="F4" s="222" t="s">
        <v>89</v>
      </c>
      <c r="G4" s="223" t="s">
        <v>4643</v>
      </c>
      <c r="H4" s="697" t="s">
        <v>4644</v>
      </c>
      <c r="I4" s="223" t="s">
        <v>4645</v>
      </c>
      <c r="J4" s="240" t="s">
        <v>4646</v>
      </c>
    </row>
    <row r="5" s="215" customFormat="1" ht="26.25" customHeight="1" spans="1:10">
      <c r="A5" s="224" t="s">
        <v>97</v>
      </c>
      <c r="B5" s="225">
        <v>22098</v>
      </c>
      <c r="C5" s="225">
        <v>21124</v>
      </c>
      <c r="D5" s="225">
        <v>21758</v>
      </c>
      <c r="E5" s="241">
        <f t="shared" ref="E5:E18" si="0">(D5-B5)/B5*100</f>
        <v>-1.54</v>
      </c>
      <c r="F5" s="224" t="s">
        <v>98</v>
      </c>
      <c r="G5" s="242">
        <v>365680</v>
      </c>
      <c r="H5" s="242">
        <v>337353</v>
      </c>
      <c r="I5" s="242">
        <f>342965-159</f>
        <v>342806</v>
      </c>
      <c r="J5" s="246">
        <f>(I5-G5)/G5*100</f>
        <v>-6.26</v>
      </c>
    </row>
    <row r="6" s="215" customFormat="1" ht="26.25" customHeight="1" spans="1:10">
      <c r="A6" s="226" t="s">
        <v>99</v>
      </c>
      <c r="B6" s="225">
        <f>SUM(B7,B72,B75,B78,B83,B89,B90)</f>
        <v>348518</v>
      </c>
      <c r="C6" s="225">
        <f>SUM(C7,C72,C75,C78,C83,C89,C90)</f>
        <v>399676</v>
      </c>
      <c r="D6" s="225">
        <f>SUM(D7,D72,D75,D78,D83,D89,D90)</f>
        <v>328848</v>
      </c>
      <c r="E6" s="241">
        <f t="shared" si="0"/>
        <v>-5.64</v>
      </c>
      <c r="F6" s="226" t="s">
        <v>100</v>
      </c>
      <c r="G6" s="242">
        <f t="shared" ref="G6:I6" si="1">G7+G14+G50+G72+G75+G78+G79+G80</f>
        <v>4136</v>
      </c>
      <c r="H6" s="242">
        <f t="shared" si="1"/>
        <v>78447</v>
      </c>
      <c r="I6" s="242">
        <f t="shared" si="1"/>
        <v>4100</v>
      </c>
      <c r="J6" s="246">
        <f>(I6-G6)/G6*100</f>
        <v>-0.87</v>
      </c>
    </row>
    <row r="7" s="215" customFormat="1" ht="26.25" customHeight="1" spans="1:10">
      <c r="A7" s="227" t="s">
        <v>101</v>
      </c>
      <c r="B7" s="225">
        <f>SUM(B8+B14+B50)</f>
        <v>232033</v>
      </c>
      <c r="C7" s="225">
        <f>SUM(C8+C14+C50)</f>
        <v>289325</v>
      </c>
      <c r="D7" s="225">
        <f>SUM(D8+D14+D50)</f>
        <v>254514</v>
      </c>
      <c r="E7" s="241">
        <f t="shared" si="0"/>
        <v>9.69</v>
      </c>
      <c r="F7" s="243" t="s">
        <v>102</v>
      </c>
      <c r="G7" s="225">
        <f t="shared" ref="G7:I7" si="2">SUM(G8:G13)</f>
        <v>0</v>
      </c>
      <c r="H7" s="225">
        <f t="shared" si="2"/>
        <v>0</v>
      </c>
      <c r="I7" s="225">
        <f t="shared" si="2"/>
        <v>0</v>
      </c>
      <c r="J7" s="246"/>
    </row>
    <row r="8" s="215" customFormat="1" ht="26.25" customHeight="1" spans="1:10">
      <c r="A8" s="227" t="s">
        <v>103</v>
      </c>
      <c r="B8" s="225">
        <f>SUM(B9:B13)</f>
        <v>3844</v>
      </c>
      <c r="C8" s="225">
        <f>SUM(C9:C13)</f>
        <v>3844</v>
      </c>
      <c r="D8" s="225">
        <f>SUM(D9:D13)</f>
        <v>3844</v>
      </c>
      <c r="E8" s="241">
        <f t="shared" si="0"/>
        <v>0</v>
      </c>
      <c r="F8" s="230" t="s">
        <v>104</v>
      </c>
      <c r="G8" s="229"/>
      <c r="H8" s="229"/>
      <c r="I8" s="229"/>
      <c r="J8" s="246"/>
    </row>
    <row r="9" s="215" customFormat="1" ht="26.25" customHeight="1" spans="1:10">
      <c r="A9" s="228" t="s">
        <v>105</v>
      </c>
      <c r="B9" s="229">
        <v>404</v>
      </c>
      <c r="C9" s="229">
        <v>404</v>
      </c>
      <c r="D9" s="229">
        <v>404</v>
      </c>
      <c r="E9" s="241">
        <f t="shared" si="0"/>
        <v>0</v>
      </c>
      <c r="F9" s="230" t="s">
        <v>106</v>
      </c>
      <c r="G9" s="229"/>
      <c r="H9" s="229"/>
      <c r="I9" s="229"/>
      <c r="J9" s="246"/>
    </row>
    <row r="10" s="215" customFormat="1" ht="26.25" customHeight="1" spans="1:10">
      <c r="A10" s="228" t="s">
        <v>107</v>
      </c>
      <c r="B10" s="229">
        <v>197</v>
      </c>
      <c r="C10" s="229">
        <v>197</v>
      </c>
      <c r="D10" s="229">
        <v>197</v>
      </c>
      <c r="E10" s="241">
        <f t="shared" si="0"/>
        <v>0</v>
      </c>
      <c r="F10" s="230" t="s">
        <v>108</v>
      </c>
      <c r="G10" s="229"/>
      <c r="H10" s="229"/>
      <c r="I10" s="229"/>
      <c r="J10" s="246"/>
    </row>
    <row r="11" s="215" customFormat="1" ht="26.25" customHeight="1" spans="1:10">
      <c r="A11" s="228" t="s">
        <v>109</v>
      </c>
      <c r="B11" s="229">
        <v>657</v>
      </c>
      <c r="C11" s="229">
        <v>657</v>
      </c>
      <c r="D11" s="229">
        <v>657</v>
      </c>
      <c r="E11" s="241">
        <f t="shared" si="0"/>
        <v>0</v>
      </c>
      <c r="F11" s="230" t="s">
        <v>110</v>
      </c>
      <c r="G11" s="229"/>
      <c r="H11" s="229"/>
      <c r="I11" s="229"/>
      <c r="J11" s="246"/>
    </row>
    <row r="12" s="215" customFormat="1" ht="26.25" customHeight="1" spans="1:10">
      <c r="A12" s="228" t="s">
        <v>111</v>
      </c>
      <c r="B12" s="229">
        <f>2235-256</f>
        <v>1979</v>
      </c>
      <c r="C12" s="229">
        <f>2235-256</f>
        <v>1979</v>
      </c>
      <c r="D12" s="229">
        <f>2235-256</f>
        <v>1979</v>
      </c>
      <c r="E12" s="241">
        <f t="shared" si="0"/>
        <v>0</v>
      </c>
      <c r="F12" s="230" t="s">
        <v>112</v>
      </c>
      <c r="G12" s="229"/>
      <c r="H12" s="229"/>
      <c r="I12" s="229"/>
      <c r="J12" s="246"/>
    </row>
    <row r="13" s="215" customFormat="1" ht="26.25" customHeight="1" spans="1:10">
      <c r="A13" s="228" t="s">
        <v>113</v>
      </c>
      <c r="B13" s="229">
        <v>607</v>
      </c>
      <c r="C13" s="229">
        <v>607</v>
      </c>
      <c r="D13" s="229">
        <v>607</v>
      </c>
      <c r="E13" s="241">
        <f t="shared" si="0"/>
        <v>0</v>
      </c>
      <c r="F13" s="230" t="s">
        <v>114</v>
      </c>
      <c r="G13" s="229"/>
      <c r="H13" s="229"/>
      <c r="I13" s="229"/>
      <c r="J13" s="246"/>
    </row>
    <row r="14" s="215" customFormat="1" ht="26.25" customHeight="1" spans="1:10">
      <c r="A14" s="651" t="s">
        <v>115</v>
      </c>
      <c r="B14" s="225">
        <f t="shared" ref="B14:I14" si="3">SUM(B15:B49)</f>
        <v>226816</v>
      </c>
      <c r="C14" s="225">
        <f t="shared" si="3"/>
        <v>273240</v>
      </c>
      <c r="D14" s="225">
        <f t="shared" si="3"/>
        <v>246399</v>
      </c>
      <c r="E14" s="241">
        <f t="shared" si="0"/>
        <v>8.63</v>
      </c>
      <c r="F14" s="243" t="s">
        <v>116</v>
      </c>
      <c r="G14" s="244">
        <f t="shared" si="3"/>
        <v>0</v>
      </c>
      <c r="H14" s="244">
        <f t="shared" si="3"/>
        <v>0</v>
      </c>
      <c r="I14" s="244">
        <f t="shared" si="3"/>
        <v>0</v>
      </c>
      <c r="J14" s="246"/>
    </row>
    <row r="15" s="215" customFormat="1" ht="26.25" customHeight="1" spans="1:10">
      <c r="A15" s="230" t="s">
        <v>117</v>
      </c>
      <c r="B15" s="229">
        <v>1764</v>
      </c>
      <c r="C15" s="229">
        <v>1764</v>
      </c>
      <c r="D15" s="229">
        <v>1764</v>
      </c>
      <c r="E15" s="241">
        <f t="shared" si="0"/>
        <v>0</v>
      </c>
      <c r="F15" s="230" t="s">
        <v>118</v>
      </c>
      <c r="G15" s="225">
        <f t="shared" ref="G15:I15" si="4">SUM(G16:G29)</f>
        <v>0</v>
      </c>
      <c r="H15" s="225">
        <f t="shared" si="4"/>
        <v>0</v>
      </c>
      <c r="I15" s="225">
        <f t="shared" si="4"/>
        <v>0</v>
      </c>
      <c r="J15" s="246"/>
    </row>
    <row r="16" s="215" customFormat="1" ht="26.25" customHeight="1" spans="1:10">
      <c r="A16" s="230" t="s">
        <v>119</v>
      </c>
      <c r="B16" s="229">
        <f>53272+10509</f>
        <v>63781</v>
      </c>
      <c r="C16" s="229">
        <v>70632</v>
      </c>
      <c r="D16" s="231">
        <f>61369+9263</f>
        <v>70632</v>
      </c>
      <c r="E16" s="241">
        <f t="shared" si="0"/>
        <v>10.74</v>
      </c>
      <c r="F16" s="230" t="s">
        <v>120</v>
      </c>
      <c r="G16" s="229"/>
      <c r="H16" s="229"/>
      <c r="I16" s="229"/>
      <c r="J16" s="246"/>
    </row>
    <row r="17" s="215" customFormat="1" ht="26.25" customHeight="1" spans="1:10">
      <c r="A17" s="230" t="s">
        <v>121</v>
      </c>
      <c r="B17" s="229">
        <f>16014+896</f>
        <v>16910</v>
      </c>
      <c r="C17" s="229">
        <v>19710</v>
      </c>
      <c r="D17" s="231">
        <f>16020+3690</f>
        <v>19710</v>
      </c>
      <c r="E17" s="241">
        <f t="shared" si="0"/>
        <v>16.56</v>
      </c>
      <c r="F17" s="230" t="s">
        <v>122</v>
      </c>
      <c r="G17" s="229"/>
      <c r="H17" s="229"/>
      <c r="I17" s="229"/>
      <c r="J17" s="246"/>
    </row>
    <row r="18" s="215" customFormat="1" ht="26.25" customHeight="1" spans="1:10">
      <c r="A18" s="230" t="s">
        <v>123</v>
      </c>
      <c r="B18" s="229">
        <f>376+339</f>
        <v>715</v>
      </c>
      <c r="C18" s="229">
        <v>3487</v>
      </c>
      <c r="D18" s="229">
        <v>6060</v>
      </c>
      <c r="E18" s="241">
        <f t="shared" si="0"/>
        <v>747.55</v>
      </c>
      <c r="F18" s="230" t="s">
        <v>124</v>
      </c>
      <c r="G18" s="229"/>
      <c r="H18" s="229"/>
      <c r="I18" s="229"/>
      <c r="J18" s="246"/>
    </row>
    <row r="19" s="215" customFormat="1" ht="26.25" customHeight="1" spans="1:10">
      <c r="A19" s="230" t="s">
        <v>125</v>
      </c>
      <c r="B19" s="232"/>
      <c r="C19" s="229"/>
      <c r="D19" s="229"/>
      <c r="E19" s="241"/>
      <c r="F19" s="230" t="s">
        <v>126</v>
      </c>
      <c r="G19" s="229"/>
      <c r="H19" s="229"/>
      <c r="I19" s="229"/>
      <c r="J19" s="246"/>
    </row>
    <row r="20" s="215" customFormat="1" ht="26.25" customHeight="1" spans="1:10">
      <c r="A20" s="230" t="s">
        <v>127</v>
      </c>
      <c r="B20" s="232"/>
      <c r="C20" s="229"/>
      <c r="D20" s="229"/>
      <c r="E20" s="241"/>
      <c r="F20" s="230" t="s">
        <v>128</v>
      </c>
      <c r="G20" s="225">
        <f t="shared" ref="G20:I20" si="5">SUM(G21:G39)</f>
        <v>0</v>
      </c>
      <c r="H20" s="225">
        <f t="shared" si="5"/>
        <v>0</v>
      </c>
      <c r="I20" s="225">
        <f t="shared" si="5"/>
        <v>0</v>
      </c>
      <c r="J20" s="246"/>
    </row>
    <row r="21" s="215" customFormat="1" ht="26.25" customHeight="1" spans="1:10">
      <c r="A21" s="230" t="s">
        <v>129</v>
      </c>
      <c r="B21" s="229">
        <v>794</v>
      </c>
      <c r="C21" s="229">
        <v>899</v>
      </c>
      <c r="D21" s="229">
        <v>809</v>
      </c>
      <c r="E21" s="241">
        <f t="shared" ref="E21:E25" si="6">(D21-B21)/B21*100</f>
        <v>1.89</v>
      </c>
      <c r="F21" s="230" t="s">
        <v>130</v>
      </c>
      <c r="G21" s="229"/>
      <c r="H21" s="229"/>
      <c r="I21" s="229"/>
      <c r="J21" s="246"/>
    </row>
    <row r="22" s="215" customFormat="1" ht="26.25" customHeight="1" spans="1:10">
      <c r="A22" s="230" t="s">
        <v>131</v>
      </c>
      <c r="B22" s="233">
        <f>8135+4000</f>
        <v>12135</v>
      </c>
      <c r="C22" s="233">
        <v>10256</v>
      </c>
      <c r="D22" s="234">
        <f>9230+1026</f>
        <v>10256</v>
      </c>
      <c r="E22" s="241">
        <f t="shared" si="6"/>
        <v>-15.48</v>
      </c>
      <c r="F22" s="230" t="s">
        <v>132</v>
      </c>
      <c r="G22" s="229"/>
      <c r="H22" s="229"/>
      <c r="I22" s="229"/>
      <c r="J22" s="246"/>
    </row>
    <row r="23" s="215" customFormat="1" ht="26.25" customHeight="1" spans="1:10">
      <c r="A23" s="230" t="s">
        <v>133</v>
      </c>
      <c r="B23" s="233">
        <f>13134</f>
        <v>13134</v>
      </c>
      <c r="C23" s="233">
        <v>13572</v>
      </c>
      <c r="D23" s="233">
        <v>13134</v>
      </c>
      <c r="E23" s="241">
        <f t="shared" si="6"/>
        <v>0</v>
      </c>
      <c r="F23" s="230" t="s">
        <v>134</v>
      </c>
      <c r="G23" s="229"/>
      <c r="H23" s="229"/>
      <c r="I23" s="229"/>
      <c r="J23" s="246"/>
    </row>
    <row r="24" s="215" customFormat="1" ht="26.25" customHeight="1" spans="1:10">
      <c r="A24" s="230" t="s">
        <v>135</v>
      </c>
      <c r="B24" s="233">
        <v>903</v>
      </c>
      <c r="C24" s="233">
        <v>1103</v>
      </c>
      <c r="D24" s="233">
        <v>911</v>
      </c>
      <c r="E24" s="241">
        <f t="shared" si="6"/>
        <v>0.89</v>
      </c>
      <c r="F24" s="230" t="s">
        <v>136</v>
      </c>
      <c r="G24" s="229"/>
      <c r="H24" s="229"/>
      <c r="I24" s="229"/>
      <c r="J24" s="246"/>
    </row>
    <row r="25" s="215" customFormat="1" ht="26.25" customHeight="1" spans="1:10">
      <c r="A25" s="230" t="s">
        <v>137</v>
      </c>
      <c r="B25" s="233">
        <f>11487+10769</f>
        <v>22256</v>
      </c>
      <c r="C25" s="233">
        <v>12992</v>
      </c>
      <c r="D25" s="234">
        <f>11487+1505</f>
        <v>12992</v>
      </c>
      <c r="E25" s="241">
        <f t="shared" si="6"/>
        <v>-41.62</v>
      </c>
      <c r="F25" s="230" t="s">
        <v>138</v>
      </c>
      <c r="G25" s="229"/>
      <c r="H25" s="229"/>
      <c r="I25" s="229"/>
      <c r="J25" s="246"/>
    </row>
    <row r="26" s="215" customFormat="1" ht="26.25" customHeight="1" spans="1:10">
      <c r="A26" s="230" t="s">
        <v>139</v>
      </c>
      <c r="B26" s="229"/>
      <c r="C26" s="229"/>
      <c r="D26" s="229"/>
      <c r="E26" s="241"/>
      <c r="F26" s="230" t="s">
        <v>140</v>
      </c>
      <c r="G26" s="229"/>
      <c r="H26" s="229"/>
      <c r="I26" s="229"/>
      <c r="J26" s="246"/>
    </row>
    <row r="27" s="215" customFormat="1" ht="26.25" customHeight="1" spans="1:10">
      <c r="A27" s="230" t="s">
        <v>141</v>
      </c>
      <c r="B27" s="229">
        <v>34839</v>
      </c>
      <c r="C27" s="229">
        <v>52439</v>
      </c>
      <c r="D27" s="229">
        <v>26170</v>
      </c>
      <c r="E27" s="241">
        <f t="shared" ref="E27:E32" si="7">(D27-B27)/B27*100</f>
        <v>-24.88</v>
      </c>
      <c r="F27" s="230" t="s">
        <v>142</v>
      </c>
      <c r="G27" s="229"/>
      <c r="H27" s="229"/>
      <c r="I27" s="229"/>
      <c r="J27" s="246"/>
    </row>
    <row r="28" s="215" customFormat="1" ht="26.25" customHeight="1" spans="1:10">
      <c r="A28" s="230" t="s">
        <v>143</v>
      </c>
      <c r="B28" s="232"/>
      <c r="C28" s="229"/>
      <c r="D28" s="229"/>
      <c r="E28" s="241"/>
      <c r="F28" s="230" t="s">
        <v>144</v>
      </c>
      <c r="G28" s="229"/>
      <c r="H28" s="229"/>
      <c r="I28" s="229"/>
      <c r="J28" s="246"/>
    </row>
    <row r="29" s="215" customFormat="1" ht="26.25" customHeight="1" spans="1:10">
      <c r="A29" s="230" t="s">
        <v>145</v>
      </c>
      <c r="B29" s="232"/>
      <c r="C29" s="229"/>
      <c r="D29" s="229"/>
      <c r="E29" s="241"/>
      <c r="F29" s="230" t="s">
        <v>146</v>
      </c>
      <c r="G29" s="229"/>
      <c r="H29" s="229"/>
      <c r="I29" s="229"/>
      <c r="J29" s="246"/>
    </row>
    <row r="30" s="215" customFormat="1" ht="26.25" customHeight="1" spans="1:10">
      <c r="A30" s="230" t="s">
        <v>147</v>
      </c>
      <c r="B30" s="232"/>
      <c r="C30" s="229"/>
      <c r="D30" s="229"/>
      <c r="E30" s="241"/>
      <c r="F30" s="230" t="s">
        <v>148</v>
      </c>
      <c r="G30" s="225">
        <f t="shared" ref="G30:I30" si="8">SUM(G31:G49)</f>
        <v>0</v>
      </c>
      <c r="H30" s="225">
        <f t="shared" si="8"/>
        <v>0</v>
      </c>
      <c r="I30" s="225">
        <f t="shared" si="8"/>
        <v>0</v>
      </c>
      <c r="J30" s="246"/>
    </row>
    <row r="31" s="215" customFormat="1" ht="26.25" customHeight="1" spans="1:10">
      <c r="A31" s="230" t="s">
        <v>149</v>
      </c>
      <c r="B31" s="229">
        <v>8</v>
      </c>
      <c r="C31" s="229">
        <v>1568</v>
      </c>
      <c r="D31" s="229">
        <v>1230</v>
      </c>
      <c r="E31" s="241">
        <f t="shared" si="7"/>
        <v>15275</v>
      </c>
      <c r="F31" s="230" t="s">
        <v>150</v>
      </c>
      <c r="G31" s="229"/>
      <c r="H31" s="229"/>
      <c r="I31" s="229"/>
      <c r="J31" s="246"/>
    </row>
    <row r="32" s="215" customFormat="1" ht="26.25" customHeight="1" spans="1:10">
      <c r="A32" s="230" t="s">
        <v>151</v>
      </c>
      <c r="B32" s="229">
        <f>3241+10000</f>
        <v>13241</v>
      </c>
      <c r="C32" s="233">
        <v>21445</v>
      </c>
      <c r="D32" s="233">
        <v>19543</v>
      </c>
      <c r="E32" s="241">
        <f t="shared" si="7"/>
        <v>47.59</v>
      </c>
      <c r="F32" s="230" t="s">
        <v>152</v>
      </c>
      <c r="G32" s="229"/>
      <c r="H32" s="229"/>
      <c r="I32" s="229"/>
      <c r="J32" s="246"/>
    </row>
    <row r="33" s="215" customFormat="1" ht="26.25" customHeight="1" spans="1:10">
      <c r="A33" s="230" t="s">
        <v>153</v>
      </c>
      <c r="B33" s="232"/>
      <c r="C33" s="233"/>
      <c r="D33" s="233"/>
      <c r="E33" s="241"/>
      <c r="F33" s="230" t="s">
        <v>154</v>
      </c>
      <c r="G33" s="229"/>
      <c r="H33" s="229"/>
      <c r="I33" s="229"/>
      <c r="J33" s="246"/>
    </row>
    <row r="34" s="215" customFormat="1" ht="26.25" customHeight="1" spans="1:10">
      <c r="A34" s="230" t="s">
        <v>155</v>
      </c>
      <c r="B34" s="232"/>
      <c r="C34" s="233">
        <v>948</v>
      </c>
      <c r="D34" s="233">
        <v>670</v>
      </c>
      <c r="E34" s="241"/>
      <c r="F34" s="230" t="s">
        <v>156</v>
      </c>
      <c r="G34" s="229"/>
      <c r="H34" s="229"/>
      <c r="I34" s="229"/>
      <c r="J34" s="246"/>
    </row>
    <row r="35" s="215" customFormat="1" ht="26.25" customHeight="1" spans="1:10">
      <c r="A35" s="230" t="s">
        <v>157</v>
      </c>
      <c r="B35" s="229">
        <f>22164+3000</f>
        <v>25164</v>
      </c>
      <c r="C35" s="233">
        <v>31846</v>
      </c>
      <c r="D35" s="233">
        <v>31498</v>
      </c>
      <c r="E35" s="241">
        <f t="shared" ref="E35:E37" si="9">(D35-B35)/B35*100</f>
        <v>25.17</v>
      </c>
      <c r="F35" s="230" t="s">
        <v>158</v>
      </c>
      <c r="G35" s="229"/>
      <c r="H35" s="229"/>
      <c r="I35" s="229"/>
      <c r="J35" s="246"/>
    </row>
    <row r="36" s="215" customFormat="1" ht="26.25" customHeight="1" spans="1:10">
      <c r="A36" s="230" t="s">
        <v>4647</v>
      </c>
      <c r="B36" s="229">
        <f>4756+1000</f>
        <v>5756</v>
      </c>
      <c r="C36" s="229">
        <v>11525</v>
      </c>
      <c r="D36" s="229">
        <v>9657</v>
      </c>
      <c r="E36" s="241">
        <f t="shared" si="9"/>
        <v>67.77</v>
      </c>
      <c r="F36" s="230" t="s">
        <v>4648</v>
      </c>
      <c r="G36" s="229"/>
      <c r="H36" s="229"/>
      <c r="I36" s="229"/>
      <c r="J36" s="246"/>
    </row>
    <row r="37" s="215" customFormat="1" ht="26.25" customHeight="1" spans="1:10">
      <c r="A37" s="230" t="s">
        <v>161</v>
      </c>
      <c r="B37" s="229">
        <v>1660</v>
      </c>
      <c r="C37" s="229">
        <v>3212</v>
      </c>
      <c r="D37" s="229">
        <v>1931</v>
      </c>
      <c r="E37" s="241">
        <f t="shared" si="9"/>
        <v>16.33</v>
      </c>
      <c r="F37" s="230" t="s">
        <v>162</v>
      </c>
      <c r="G37" s="229"/>
      <c r="H37" s="229"/>
      <c r="I37" s="229"/>
      <c r="J37" s="246"/>
    </row>
    <row r="38" s="215" customFormat="1" ht="26.25" customHeight="1" spans="1:10">
      <c r="A38" s="230" t="s">
        <v>163</v>
      </c>
      <c r="B38" s="229"/>
      <c r="C38" s="229"/>
      <c r="D38" s="229"/>
      <c r="E38" s="241"/>
      <c r="F38" s="230" t="s">
        <v>164</v>
      </c>
      <c r="G38" s="229"/>
      <c r="H38" s="229"/>
      <c r="I38" s="229"/>
      <c r="J38" s="246"/>
    </row>
    <row r="39" s="215" customFormat="1" ht="26.25" customHeight="1" spans="1:10">
      <c r="A39" s="230" t="s">
        <v>165</v>
      </c>
      <c r="B39" s="229">
        <f>5122+7121</f>
        <v>12243</v>
      </c>
      <c r="C39" s="229">
        <v>11246</v>
      </c>
      <c r="D39" s="229">
        <f>3580</f>
        <v>3580</v>
      </c>
      <c r="E39" s="241">
        <f>(D39-B39)/B39*100</f>
        <v>-70.76</v>
      </c>
      <c r="F39" s="230" t="s">
        <v>166</v>
      </c>
      <c r="G39" s="229"/>
      <c r="H39" s="229"/>
      <c r="I39" s="229"/>
      <c r="J39" s="246"/>
    </row>
    <row r="40" s="215" customFormat="1" ht="26.25" customHeight="1" spans="1:10">
      <c r="A40" s="230" t="s">
        <v>167</v>
      </c>
      <c r="B40" s="229">
        <v>791</v>
      </c>
      <c r="C40" s="229">
        <v>1719</v>
      </c>
      <c r="D40" s="229">
        <v>223</v>
      </c>
      <c r="E40" s="241">
        <f>(D40-B40)/B40*100</f>
        <v>-71.81</v>
      </c>
      <c r="F40" s="230" t="s">
        <v>168</v>
      </c>
      <c r="G40" s="229"/>
      <c r="H40" s="229"/>
      <c r="I40" s="229"/>
      <c r="J40" s="246"/>
    </row>
    <row r="41" s="215" customFormat="1" ht="26.25" customHeight="1" spans="1:10">
      <c r="A41" s="230" t="s">
        <v>169</v>
      </c>
      <c r="B41" s="232"/>
      <c r="C41" s="229"/>
      <c r="D41" s="229"/>
      <c r="E41" s="241"/>
      <c r="F41" s="230" t="s">
        <v>170</v>
      </c>
      <c r="G41" s="229"/>
      <c r="H41" s="229"/>
      <c r="I41" s="229"/>
      <c r="J41" s="246"/>
    </row>
    <row r="42" s="215" customFormat="1" ht="26.25" customHeight="1" spans="1:10">
      <c r="A42" s="230" t="s">
        <v>171</v>
      </c>
      <c r="B42" s="232"/>
      <c r="C42" s="229"/>
      <c r="D42" s="229"/>
      <c r="E42" s="241"/>
      <c r="F42" s="230" t="s">
        <v>172</v>
      </c>
      <c r="G42" s="229"/>
      <c r="H42" s="229"/>
      <c r="I42" s="229"/>
      <c r="J42" s="246"/>
    </row>
    <row r="43" s="215" customFormat="1" ht="26.25" customHeight="1" spans="1:10">
      <c r="A43" s="230" t="s">
        <v>173</v>
      </c>
      <c r="B43" s="232"/>
      <c r="C43" s="229"/>
      <c r="D43" s="229"/>
      <c r="E43" s="241"/>
      <c r="F43" s="230" t="s">
        <v>174</v>
      </c>
      <c r="G43" s="229"/>
      <c r="H43" s="229"/>
      <c r="I43" s="229"/>
      <c r="J43" s="246"/>
    </row>
    <row r="44" s="215" customFormat="1" ht="26.25" customHeight="1" spans="1:10">
      <c r="A44" s="230" t="s">
        <v>175</v>
      </c>
      <c r="B44" s="232"/>
      <c r="C44" s="229"/>
      <c r="D44" s="229"/>
      <c r="E44" s="241"/>
      <c r="F44" s="230" t="s">
        <v>176</v>
      </c>
      <c r="G44" s="229"/>
      <c r="H44" s="229"/>
      <c r="I44" s="229"/>
      <c r="J44" s="246"/>
    </row>
    <row r="45" s="215" customFormat="1" ht="26.25" customHeight="1" spans="1:10">
      <c r="A45" s="230" t="s">
        <v>177</v>
      </c>
      <c r="B45" s="229">
        <v>492</v>
      </c>
      <c r="C45" s="229">
        <v>602</v>
      </c>
      <c r="D45" s="229">
        <v>483</v>
      </c>
      <c r="E45" s="241">
        <f t="shared" ref="E45:E51" si="10">(D45-B45)/B45*100</f>
        <v>-1.83</v>
      </c>
      <c r="F45" s="230" t="s">
        <v>178</v>
      </c>
      <c r="G45" s="229"/>
      <c r="H45" s="229"/>
      <c r="I45" s="229"/>
      <c r="J45" s="246"/>
    </row>
    <row r="46" s="215" customFormat="1" ht="26.25" customHeight="1" spans="1:10">
      <c r="A46" s="230" t="s">
        <v>179</v>
      </c>
      <c r="B46" s="232"/>
      <c r="C46" s="229"/>
      <c r="D46" s="229"/>
      <c r="E46" s="241"/>
      <c r="F46" s="230" t="s">
        <v>180</v>
      </c>
      <c r="G46" s="229"/>
      <c r="H46" s="229"/>
      <c r="I46" s="229"/>
      <c r="J46" s="246"/>
    </row>
    <row r="47" s="215" customFormat="1" ht="26.25" customHeight="1" spans="1:10">
      <c r="A47" s="230" t="s">
        <v>181</v>
      </c>
      <c r="B47" s="232"/>
      <c r="C47" s="229">
        <v>85</v>
      </c>
      <c r="D47" s="229">
        <v>150</v>
      </c>
      <c r="E47" s="241"/>
      <c r="F47" s="230" t="s">
        <v>182</v>
      </c>
      <c r="G47" s="229"/>
      <c r="H47" s="229"/>
      <c r="I47" s="229"/>
      <c r="J47" s="246"/>
    </row>
    <row r="48" s="215" customFormat="1" ht="26.25" customHeight="1" spans="1:10">
      <c r="A48" s="230" t="s">
        <v>183</v>
      </c>
      <c r="B48" s="232"/>
      <c r="C48" s="229"/>
      <c r="D48" s="229"/>
      <c r="E48" s="241"/>
      <c r="F48" s="230" t="s">
        <v>184</v>
      </c>
      <c r="G48" s="229"/>
      <c r="H48" s="229"/>
      <c r="I48" s="229"/>
      <c r="J48" s="246"/>
    </row>
    <row r="49" s="215" customFormat="1" ht="26.25" customHeight="1" spans="1:10">
      <c r="A49" s="230" t="s">
        <v>185</v>
      </c>
      <c r="B49" s="229">
        <v>230</v>
      </c>
      <c r="C49" s="229">
        <v>2190</v>
      </c>
      <c r="D49" s="231">
        <f>805+14191</f>
        <v>14996</v>
      </c>
      <c r="E49" s="241">
        <f t="shared" si="10"/>
        <v>6420</v>
      </c>
      <c r="F49" s="230" t="s">
        <v>186</v>
      </c>
      <c r="G49" s="229"/>
      <c r="H49" s="229"/>
      <c r="I49" s="229"/>
      <c r="J49" s="246"/>
    </row>
    <row r="50" s="215" customFormat="1" ht="26.25" customHeight="1" spans="1:10">
      <c r="A50" s="235" t="s">
        <v>187</v>
      </c>
      <c r="B50" s="225">
        <f t="shared" ref="B50:I50" si="11">SUM(B51:B71)</f>
        <v>1373</v>
      </c>
      <c r="C50" s="225">
        <f t="shared" si="11"/>
        <v>12241</v>
      </c>
      <c r="D50" s="225">
        <f t="shared" si="11"/>
        <v>4271</v>
      </c>
      <c r="E50" s="241">
        <f t="shared" si="10"/>
        <v>211.07</v>
      </c>
      <c r="F50" s="227" t="s">
        <v>188</v>
      </c>
      <c r="G50" s="225">
        <f t="shared" si="11"/>
        <v>0</v>
      </c>
      <c r="H50" s="225">
        <f t="shared" si="11"/>
        <v>0</v>
      </c>
      <c r="I50" s="225">
        <f t="shared" si="11"/>
        <v>0</v>
      </c>
      <c r="J50" s="246"/>
    </row>
    <row r="51" s="215" customFormat="1" ht="26.25" customHeight="1" spans="1:10">
      <c r="A51" s="230" t="s">
        <v>189</v>
      </c>
      <c r="B51" s="229">
        <v>55</v>
      </c>
      <c r="C51" s="229">
        <v>404</v>
      </c>
      <c r="D51" s="229">
        <v>79</v>
      </c>
      <c r="E51" s="241">
        <f t="shared" si="10"/>
        <v>43.64</v>
      </c>
      <c r="F51" s="230" t="s">
        <v>189</v>
      </c>
      <c r="G51" s="229"/>
      <c r="H51" s="229"/>
      <c r="I51" s="229"/>
      <c r="J51" s="246"/>
    </row>
    <row r="52" s="215" customFormat="1" ht="26.25" customHeight="1" spans="1:10">
      <c r="A52" s="230" t="s">
        <v>190</v>
      </c>
      <c r="B52" s="229"/>
      <c r="C52" s="229"/>
      <c r="D52" s="229"/>
      <c r="E52" s="241"/>
      <c r="F52" s="230" t="s">
        <v>190</v>
      </c>
      <c r="G52" s="229"/>
      <c r="H52" s="229"/>
      <c r="I52" s="229"/>
      <c r="J52" s="246"/>
    </row>
    <row r="53" s="215" customFormat="1" ht="26.25" customHeight="1" spans="1:10">
      <c r="A53" s="230" t="s">
        <v>191</v>
      </c>
      <c r="B53" s="229"/>
      <c r="C53" s="229"/>
      <c r="D53" s="229"/>
      <c r="E53" s="241"/>
      <c r="F53" s="230" t="s">
        <v>191</v>
      </c>
      <c r="G53" s="229"/>
      <c r="H53" s="229"/>
      <c r="I53" s="229"/>
      <c r="J53" s="246"/>
    </row>
    <row r="54" s="215" customFormat="1" ht="26.25" customHeight="1" spans="1:10">
      <c r="A54" s="230" t="s">
        <v>192</v>
      </c>
      <c r="B54" s="229"/>
      <c r="C54" s="229"/>
      <c r="D54" s="229"/>
      <c r="E54" s="241"/>
      <c r="F54" s="230" t="s">
        <v>192</v>
      </c>
      <c r="G54" s="229"/>
      <c r="H54" s="229"/>
      <c r="I54" s="229"/>
      <c r="J54" s="246"/>
    </row>
    <row r="55" s="215" customFormat="1" ht="26.25" customHeight="1" spans="1:10">
      <c r="A55" s="230" t="s">
        <v>193</v>
      </c>
      <c r="B55" s="233"/>
      <c r="C55" s="233">
        <v>30</v>
      </c>
      <c r="D55" s="233"/>
      <c r="E55" s="241"/>
      <c r="F55" s="230" t="s">
        <v>193</v>
      </c>
      <c r="G55" s="229"/>
      <c r="H55" s="229"/>
      <c r="I55" s="229"/>
      <c r="J55" s="246"/>
    </row>
    <row r="56" s="215" customFormat="1" ht="26.25" customHeight="1" spans="1:10">
      <c r="A56" s="230" t="s">
        <v>194</v>
      </c>
      <c r="B56" s="233"/>
      <c r="C56" s="233"/>
      <c r="D56" s="233"/>
      <c r="E56" s="241"/>
      <c r="F56" s="230" t="s">
        <v>194</v>
      </c>
      <c r="G56" s="229"/>
      <c r="H56" s="229"/>
      <c r="I56" s="229"/>
      <c r="J56" s="246"/>
    </row>
    <row r="57" s="215" customFormat="1" ht="26.25" customHeight="1" spans="1:10">
      <c r="A57" s="230" t="s">
        <v>195</v>
      </c>
      <c r="B57" s="41"/>
      <c r="C57" s="41">
        <v>46</v>
      </c>
      <c r="D57" s="41">
        <v>70</v>
      </c>
      <c r="E57" s="241"/>
      <c r="F57" s="230" t="s">
        <v>195</v>
      </c>
      <c r="G57" s="229"/>
      <c r="H57" s="229"/>
      <c r="I57" s="229"/>
      <c r="J57" s="246"/>
    </row>
    <row r="58" s="215" customFormat="1" ht="26.25" customHeight="1" spans="1:10">
      <c r="A58" s="230" t="s">
        <v>196</v>
      </c>
      <c r="B58" s="236">
        <v>28</v>
      </c>
      <c r="C58" s="41">
        <v>93</v>
      </c>
      <c r="D58" s="41">
        <v>39</v>
      </c>
      <c r="E58" s="241">
        <f t="shared" ref="E58:E63" si="12">(D58-B58)/B58*100</f>
        <v>39.29</v>
      </c>
      <c r="F58" s="230" t="s">
        <v>196</v>
      </c>
      <c r="G58" s="229"/>
      <c r="H58" s="229"/>
      <c r="I58" s="229"/>
      <c r="J58" s="246"/>
    </row>
    <row r="59" s="215" customFormat="1" ht="26.25" customHeight="1" spans="1:10">
      <c r="A59" s="230" t="s">
        <v>197</v>
      </c>
      <c r="B59" s="236"/>
      <c r="C59" s="41">
        <v>268</v>
      </c>
      <c r="D59" s="41"/>
      <c r="E59" s="241"/>
      <c r="F59" s="230" t="s">
        <v>197</v>
      </c>
      <c r="G59" s="229"/>
      <c r="H59" s="229"/>
      <c r="I59" s="229"/>
      <c r="J59" s="246"/>
    </row>
    <row r="60" s="215" customFormat="1" ht="26.25" customHeight="1" spans="1:10">
      <c r="A60" s="230" t="s">
        <v>198</v>
      </c>
      <c r="B60" s="236">
        <v>20</v>
      </c>
      <c r="C60" s="41">
        <v>193</v>
      </c>
      <c r="D60" s="41"/>
      <c r="E60" s="241">
        <f t="shared" si="12"/>
        <v>-100</v>
      </c>
      <c r="F60" s="230" t="s">
        <v>198</v>
      </c>
      <c r="G60" s="229"/>
      <c r="H60" s="229"/>
      <c r="I60" s="229"/>
      <c r="J60" s="246"/>
    </row>
    <row r="61" s="215" customFormat="1" ht="26.25" customHeight="1" spans="1:10">
      <c r="A61" s="230" t="s">
        <v>199</v>
      </c>
      <c r="B61" s="236"/>
      <c r="C61" s="41">
        <v>292</v>
      </c>
      <c r="D61" s="41"/>
      <c r="E61" s="241"/>
      <c r="F61" s="230" t="s">
        <v>199</v>
      </c>
      <c r="G61" s="229"/>
      <c r="H61" s="229"/>
      <c r="I61" s="229"/>
      <c r="J61" s="246"/>
    </row>
    <row r="62" s="215" customFormat="1" ht="26.25" customHeight="1" spans="1:10">
      <c r="A62" s="230" t="s">
        <v>200</v>
      </c>
      <c r="B62" s="236">
        <v>1120</v>
      </c>
      <c r="C62" s="41">
        <v>7408</v>
      </c>
      <c r="D62" s="41">
        <v>2370</v>
      </c>
      <c r="E62" s="241">
        <f t="shared" si="12"/>
        <v>111.61</v>
      </c>
      <c r="F62" s="230" t="s">
        <v>200</v>
      </c>
      <c r="G62" s="229"/>
      <c r="H62" s="229"/>
      <c r="I62" s="229"/>
      <c r="J62" s="246"/>
    </row>
    <row r="63" s="215" customFormat="1" ht="26.25" customHeight="1" spans="1:10">
      <c r="A63" s="230" t="s">
        <v>201</v>
      </c>
      <c r="B63" s="233">
        <v>85</v>
      </c>
      <c r="C63" s="233">
        <v>892</v>
      </c>
      <c r="D63" s="233">
        <v>66</v>
      </c>
      <c r="E63" s="241">
        <f t="shared" si="12"/>
        <v>-22.35</v>
      </c>
      <c r="F63" s="230" t="s">
        <v>201</v>
      </c>
      <c r="G63" s="229"/>
      <c r="H63" s="229"/>
      <c r="I63" s="229"/>
      <c r="J63" s="246"/>
    </row>
    <row r="64" s="215" customFormat="1" ht="26.25" customHeight="1" spans="1:10">
      <c r="A64" s="230" t="s">
        <v>202</v>
      </c>
      <c r="B64" s="229"/>
      <c r="C64" s="229">
        <v>189</v>
      </c>
      <c r="D64" s="229"/>
      <c r="E64" s="241"/>
      <c r="F64" s="230" t="s">
        <v>202</v>
      </c>
      <c r="G64" s="229"/>
      <c r="H64" s="229"/>
      <c r="I64" s="229"/>
      <c r="J64" s="246"/>
    </row>
    <row r="65" s="215" customFormat="1" ht="26.25" customHeight="1" spans="1:10">
      <c r="A65" s="230" t="s">
        <v>203</v>
      </c>
      <c r="B65" s="229"/>
      <c r="C65" s="229">
        <v>125</v>
      </c>
      <c r="D65" s="229"/>
      <c r="E65" s="241"/>
      <c r="F65" s="230" t="s">
        <v>203</v>
      </c>
      <c r="G65" s="229"/>
      <c r="H65" s="229"/>
      <c r="I65" s="229"/>
      <c r="J65" s="246"/>
    </row>
    <row r="66" s="215" customFormat="1" ht="26.25" customHeight="1" spans="1:10">
      <c r="A66" s="230" t="s">
        <v>204</v>
      </c>
      <c r="B66" s="229"/>
      <c r="C66" s="229">
        <v>296</v>
      </c>
      <c r="D66" s="229"/>
      <c r="E66" s="241"/>
      <c r="F66" s="230" t="s">
        <v>204</v>
      </c>
      <c r="G66" s="229"/>
      <c r="H66" s="229"/>
      <c r="I66" s="229"/>
      <c r="J66" s="246"/>
    </row>
    <row r="67" s="215" customFormat="1" ht="26.25" customHeight="1" spans="1:10">
      <c r="A67" s="230" t="s">
        <v>205</v>
      </c>
      <c r="B67" s="229">
        <v>5</v>
      </c>
      <c r="C67" s="229">
        <v>205</v>
      </c>
      <c r="D67" s="229">
        <v>108</v>
      </c>
      <c r="E67" s="241">
        <f>(D67-B67)/B67*100</f>
        <v>2060</v>
      </c>
      <c r="F67" s="230" t="s">
        <v>205</v>
      </c>
      <c r="G67" s="229"/>
      <c r="H67" s="229"/>
      <c r="I67" s="229"/>
      <c r="J67" s="246"/>
    </row>
    <row r="68" s="215" customFormat="1" ht="26.25" customHeight="1" spans="1:10">
      <c r="A68" s="230" t="s">
        <v>206</v>
      </c>
      <c r="B68" s="229"/>
      <c r="C68" s="229">
        <v>360</v>
      </c>
      <c r="D68" s="229"/>
      <c r="E68" s="241"/>
      <c r="F68" s="230" t="s">
        <v>206</v>
      </c>
      <c r="G68" s="229"/>
      <c r="H68" s="229"/>
      <c r="I68" s="229"/>
      <c r="J68" s="246"/>
    </row>
    <row r="69" s="215" customFormat="1" ht="26.25" customHeight="1" spans="1:10">
      <c r="A69" s="230" t="s">
        <v>207</v>
      </c>
      <c r="B69" s="229"/>
      <c r="C69" s="229"/>
      <c r="D69" s="229"/>
      <c r="E69" s="241"/>
      <c r="F69" s="230" t="s">
        <v>207</v>
      </c>
      <c r="G69" s="229"/>
      <c r="H69" s="229"/>
      <c r="I69" s="229"/>
      <c r="J69" s="246"/>
    </row>
    <row r="70" s="215" customFormat="1" ht="26.25" customHeight="1" spans="1:10">
      <c r="A70" s="247" t="s">
        <v>208</v>
      </c>
      <c r="B70" s="229">
        <v>60</v>
      </c>
      <c r="C70" s="229">
        <v>1440</v>
      </c>
      <c r="D70" s="229">
        <v>1539</v>
      </c>
      <c r="E70" s="241">
        <f>(D70-B70)/B70*100</f>
        <v>2465</v>
      </c>
      <c r="F70" s="652" t="s">
        <v>208</v>
      </c>
      <c r="G70" s="229"/>
      <c r="H70" s="229"/>
      <c r="I70" s="229"/>
      <c r="J70" s="246"/>
    </row>
    <row r="71" s="215" customFormat="1" ht="26.25" customHeight="1" spans="1:10">
      <c r="A71" s="230" t="s">
        <v>209</v>
      </c>
      <c r="B71" s="232"/>
      <c r="C71" s="229"/>
      <c r="D71" s="229"/>
      <c r="E71" s="241"/>
      <c r="F71" s="230" t="s">
        <v>210</v>
      </c>
      <c r="G71" s="229"/>
      <c r="H71" s="229"/>
      <c r="I71" s="229"/>
      <c r="J71" s="246"/>
    </row>
    <row r="72" s="215" customFormat="1" ht="26.25" customHeight="1" spans="1:10">
      <c r="A72" s="653" t="s">
        <v>211</v>
      </c>
      <c r="B72" s="225">
        <f t="shared" ref="B72:I72" si="13">SUM(B73:B74)</f>
        <v>0</v>
      </c>
      <c r="C72" s="225">
        <f t="shared" si="13"/>
        <v>0</v>
      </c>
      <c r="D72" s="225">
        <f t="shared" si="13"/>
        <v>0</v>
      </c>
      <c r="E72" s="241"/>
      <c r="F72" s="227" t="s">
        <v>212</v>
      </c>
      <c r="G72" s="225">
        <f t="shared" si="13"/>
        <v>4136</v>
      </c>
      <c r="H72" s="225">
        <f t="shared" si="13"/>
        <v>4113</v>
      </c>
      <c r="I72" s="225">
        <f t="shared" si="13"/>
        <v>4100</v>
      </c>
      <c r="J72" s="246">
        <f t="shared" ref="J72:J74" si="14">(I72-G72)/G72*100</f>
        <v>-0.87</v>
      </c>
    </row>
    <row r="73" s="215" customFormat="1" ht="26.25" customHeight="1" spans="1:10">
      <c r="A73" s="230" t="s">
        <v>213</v>
      </c>
      <c r="B73" s="229"/>
      <c r="C73" s="229"/>
      <c r="D73" s="229"/>
      <c r="E73" s="241"/>
      <c r="F73" s="249" t="s">
        <v>214</v>
      </c>
      <c r="G73" s="229">
        <v>73</v>
      </c>
      <c r="H73" s="229">
        <v>73</v>
      </c>
      <c r="I73" s="229">
        <v>73</v>
      </c>
      <c r="J73" s="246">
        <f t="shared" si="14"/>
        <v>0</v>
      </c>
    </row>
    <row r="74" s="215" customFormat="1" ht="26.25" customHeight="1" spans="1:10">
      <c r="A74" s="230" t="s">
        <v>215</v>
      </c>
      <c r="B74" s="229"/>
      <c r="C74" s="229"/>
      <c r="D74" s="229"/>
      <c r="E74" s="241"/>
      <c r="F74" s="249" t="s">
        <v>216</v>
      </c>
      <c r="G74" s="232">
        <v>4063</v>
      </c>
      <c r="H74" s="229">
        <v>4040</v>
      </c>
      <c r="I74" s="229">
        <v>4027</v>
      </c>
      <c r="J74" s="246">
        <f t="shared" si="14"/>
        <v>-0.89</v>
      </c>
    </row>
    <row r="75" s="215" customFormat="1" ht="26.25" customHeight="1" spans="1:10">
      <c r="A75" s="226" t="s">
        <v>217</v>
      </c>
      <c r="B75" s="225">
        <f t="shared" ref="B75:I75" si="15">SUM(B76:B77)</f>
        <v>102871</v>
      </c>
      <c r="C75" s="225">
        <f t="shared" si="15"/>
        <v>67857</v>
      </c>
      <c r="D75" s="225">
        <f t="shared" si="15"/>
        <v>28941</v>
      </c>
      <c r="E75" s="241">
        <f t="shared" ref="E75:E80" si="16">(D75-B75)/B75*100</f>
        <v>-71.87</v>
      </c>
      <c r="F75" s="227" t="s">
        <v>218</v>
      </c>
      <c r="G75" s="225">
        <f t="shared" si="15"/>
        <v>0</v>
      </c>
      <c r="H75" s="225">
        <f t="shared" si="15"/>
        <v>28941</v>
      </c>
      <c r="I75" s="225">
        <f t="shared" si="15"/>
        <v>0</v>
      </c>
      <c r="J75" s="246"/>
    </row>
    <row r="76" s="215" customFormat="1" ht="26.25" customHeight="1" spans="1:10">
      <c r="A76" s="228" t="s">
        <v>219</v>
      </c>
      <c r="B76" s="229">
        <v>102871</v>
      </c>
      <c r="C76" s="229">
        <v>67857</v>
      </c>
      <c r="D76" s="229">
        <v>28941</v>
      </c>
      <c r="E76" s="241">
        <f t="shared" si="16"/>
        <v>-71.87</v>
      </c>
      <c r="F76" s="249" t="s">
        <v>220</v>
      </c>
      <c r="G76" s="229"/>
      <c r="H76" s="229">
        <v>28941</v>
      </c>
      <c r="I76" s="229"/>
      <c r="J76" s="246"/>
    </row>
    <row r="77" s="215" customFormat="1" ht="26.25" customHeight="1" spans="1:10">
      <c r="A77" s="228" t="s">
        <v>221</v>
      </c>
      <c r="B77" s="229"/>
      <c r="C77" s="229"/>
      <c r="D77" s="229"/>
      <c r="E77" s="241"/>
      <c r="F77" s="249" t="s">
        <v>221</v>
      </c>
      <c r="G77" s="229"/>
      <c r="H77" s="229"/>
      <c r="I77" s="229"/>
      <c r="J77" s="246"/>
    </row>
    <row r="78" s="215" customFormat="1" ht="26.25" customHeight="1" spans="1:10">
      <c r="A78" s="653" t="s">
        <v>222</v>
      </c>
      <c r="B78" s="225">
        <f>B79</f>
        <v>11463</v>
      </c>
      <c r="C78" s="225">
        <f>C79</f>
        <v>200</v>
      </c>
      <c r="D78" s="225">
        <f>D79</f>
        <v>0</v>
      </c>
      <c r="E78" s="241">
        <f t="shared" si="16"/>
        <v>-100</v>
      </c>
      <c r="F78" s="243" t="s">
        <v>223</v>
      </c>
      <c r="G78" s="225"/>
      <c r="H78" s="225"/>
      <c r="I78" s="225"/>
      <c r="J78" s="246"/>
    </row>
    <row r="79" s="215" customFormat="1" ht="26.25" customHeight="1" spans="1:10">
      <c r="A79" s="653" t="s">
        <v>224</v>
      </c>
      <c r="B79" s="225">
        <f>SUM(B80:B82)</f>
        <v>11463</v>
      </c>
      <c r="C79" s="225">
        <f>SUM(C80:C82)</f>
        <v>200</v>
      </c>
      <c r="D79" s="225">
        <f>SUM(D80:D82)</f>
        <v>0</v>
      </c>
      <c r="E79" s="241">
        <f t="shared" si="16"/>
        <v>-100</v>
      </c>
      <c r="F79" s="248" t="s">
        <v>225</v>
      </c>
      <c r="G79" s="225"/>
      <c r="H79" s="225"/>
      <c r="I79" s="225"/>
      <c r="J79" s="246"/>
    </row>
    <row r="80" s="215" customFormat="1" ht="26.25" customHeight="1" spans="1:10">
      <c r="A80" s="230" t="s">
        <v>226</v>
      </c>
      <c r="B80" s="229">
        <v>11463</v>
      </c>
      <c r="C80" s="229"/>
      <c r="D80" s="229"/>
      <c r="E80" s="241">
        <f t="shared" si="16"/>
        <v>-100</v>
      </c>
      <c r="F80" s="653" t="s">
        <v>227</v>
      </c>
      <c r="G80" s="225"/>
      <c r="H80" s="225">
        <v>45393</v>
      </c>
      <c r="I80" s="225"/>
      <c r="J80" s="246"/>
    </row>
    <row r="81" s="215" customFormat="1" ht="26.25" customHeight="1" spans="1:10">
      <c r="A81" s="230" t="s">
        <v>228</v>
      </c>
      <c r="B81" s="229"/>
      <c r="C81" s="229"/>
      <c r="D81" s="229"/>
      <c r="E81" s="241"/>
      <c r="F81" s="243" t="s">
        <v>229</v>
      </c>
      <c r="G81" s="225">
        <f t="shared" ref="G81:I81" si="17">G82</f>
        <v>800</v>
      </c>
      <c r="H81" s="225">
        <f t="shared" si="17"/>
        <v>5000</v>
      </c>
      <c r="I81" s="225">
        <f t="shared" si="17"/>
        <v>3700</v>
      </c>
      <c r="J81" s="246">
        <f t="shared" ref="J81:J83" si="18">(I81-G81)/G81*100</f>
        <v>362.5</v>
      </c>
    </row>
    <row r="82" s="215" customFormat="1" ht="26.25" customHeight="1" spans="1:10">
      <c r="A82" s="230" t="s">
        <v>230</v>
      </c>
      <c r="B82" s="229"/>
      <c r="C82" s="229">
        <v>200</v>
      </c>
      <c r="D82" s="229"/>
      <c r="E82" s="241"/>
      <c r="F82" s="243" t="s">
        <v>231</v>
      </c>
      <c r="G82" s="225">
        <f t="shared" ref="G82:I82" si="19">SUM(G83:G86)</f>
        <v>800</v>
      </c>
      <c r="H82" s="225">
        <f t="shared" si="19"/>
        <v>5000</v>
      </c>
      <c r="I82" s="225">
        <f t="shared" si="19"/>
        <v>3700</v>
      </c>
      <c r="J82" s="246">
        <f t="shared" si="18"/>
        <v>362.5</v>
      </c>
    </row>
    <row r="83" s="215" customFormat="1" ht="26.25" customHeight="1" spans="1:10">
      <c r="A83" s="651" t="s">
        <v>232</v>
      </c>
      <c r="B83" s="225">
        <f>B84</f>
        <v>0</v>
      </c>
      <c r="C83" s="225">
        <f>C84</f>
        <v>5893</v>
      </c>
      <c r="D83" s="225">
        <f>D84</f>
        <v>0</v>
      </c>
      <c r="E83" s="241"/>
      <c r="F83" s="652" t="s">
        <v>233</v>
      </c>
      <c r="G83" s="232">
        <v>800</v>
      </c>
      <c r="H83" s="229">
        <v>5000</v>
      </c>
      <c r="I83" s="229">
        <v>3700</v>
      </c>
      <c r="J83" s="246">
        <f t="shared" si="18"/>
        <v>362.5</v>
      </c>
    </row>
    <row r="84" s="215" customFormat="1" ht="26.25" customHeight="1" spans="1:10">
      <c r="A84" s="651" t="s">
        <v>234</v>
      </c>
      <c r="B84" s="225">
        <f>SUM(B85:B88)</f>
        <v>0</v>
      </c>
      <c r="C84" s="225">
        <f t="shared" ref="C84:I84" si="20">SUM(C85:C88)</f>
        <v>5893</v>
      </c>
      <c r="D84" s="225">
        <f t="shared" si="20"/>
        <v>0</v>
      </c>
      <c r="E84" s="241"/>
      <c r="F84" s="249" t="s">
        <v>235</v>
      </c>
      <c r="G84" s="232"/>
      <c r="H84" s="229">
        <f t="shared" si="20"/>
        <v>0</v>
      </c>
      <c r="I84" s="229">
        <f t="shared" si="20"/>
        <v>0</v>
      </c>
      <c r="J84" s="246"/>
    </row>
    <row r="85" s="215" customFormat="1" ht="26.25" customHeight="1" spans="1:10">
      <c r="A85" s="249" t="s">
        <v>236</v>
      </c>
      <c r="B85" s="232"/>
      <c r="C85" s="229">
        <v>5893</v>
      </c>
      <c r="D85" s="229"/>
      <c r="E85" s="241"/>
      <c r="F85" s="249" t="s">
        <v>237</v>
      </c>
      <c r="G85" s="232"/>
      <c r="H85" s="229"/>
      <c r="I85" s="229"/>
      <c r="J85" s="246"/>
    </row>
    <row r="86" s="215" customFormat="1" ht="26.25" customHeight="1" spans="1:10">
      <c r="A86" s="654" t="s">
        <v>238</v>
      </c>
      <c r="B86" s="232"/>
      <c r="C86" s="229"/>
      <c r="D86" s="229"/>
      <c r="E86" s="241"/>
      <c r="F86" s="249" t="s">
        <v>239</v>
      </c>
      <c r="G86" s="232"/>
      <c r="H86" s="229"/>
      <c r="I86" s="229"/>
      <c r="J86" s="246"/>
    </row>
    <row r="87" s="215" customFormat="1" ht="26.25" customHeight="1" spans="1:10">
      <c r="A87" s="654" t="s">
        <v>240</v>
      </c>
      <c r="B87" s="232"/>
      <c r="C87" s="229"/>
      <c r="D87" s="229"/>
      <c r="E87" s="241"/>
      <c r="F87" s="249"/>
      <c r="G87" s="229"/>
      <c r="H87" s="229"/>
      <c r="I87" s="229"/>
      <c r="J87" s="246"/>
    </row>
    <row r="88" s="215" customFormat="1" ht="26.25" customHeight="1" spans="1:10">
      <c r="A88" s="654" t="s">
        <v>241</v>
      </c>
      <c r="B88" s="232"/>
      <c r="C88" s="229"/>
      <c r="D88" s="229"/>
      <c r="E88" s="241"/>
      <c r="F88" s="249"/>
      <c r="G88" s="229"/>
      <c r="H88" s="229"/>
      <c r="I88" s="229"/>
      <c r="J88" s="246"/>
    </row>
    <row r="89" s="214" customFormat="1" ht="26.25" customHeight="1" spans="1:10">
      <c r="A89" s="653" t="s">
        <v>242</v>
      </c>
      <c r="B89" s="225">
        <v>2151</v>
      </c>
      <c r="C89" s="225">
        <v>36401</v>
      </c>
      <c r="D89" s="225">
        <v>45393</v>
      </c>
      <c r="E89" s="241"/>
      <c r="F89" s="248"/>
      <c r="G89" s="225"/>
      <c r="H89" s="225"/>
      <c r="I89" s="225"/>
      <c r="J89" s="246"/>
    </row>
    <row r="90" s="214" customFormat="1" ht="26.25" customHeight="1" spans="1:10">
      <c r="A90" s="226" t="s">
        <v>243</v>
      </c>
      <c r="B90" s="225">
        <f>SUM(B91:B94)</f>
        <v>0</v>
      </c>
      <c r="C90" s="225">
        <f>SUM(C91:C94)</f>
        <v>0</v>
      </c>
      <c r="D90" s="225">
        <f>SUM(D91:D94)</f>
        <v>0</v>
      </c>
      <c r="E90" s="241"/>
      <c r="F90" s="227"/>
      <c r="G90" s="225"/>
      <c r="H90" s="225"/>
      <c r="I90" s="225"/>
      <c r="J90" s="246"/>
    </row>
    <row r="91" s="214" customFormat="1" ht="26.25" customHeight="1" spans="1:10">
      <c r="A91" s="228" t="s">
        <v>244</v>
      </c>
      <c r="B91" s="229"/>
      <c r="C91" s="229"/>
      <c r="D91" s="229"/>
      <c r="E91" s="241"/>
      <c r="F91" s="249"/>
      <c r="G91" s="229"/>
      <c r="H91" s="229"/>
      <c r="I91" s="229"/>
      <c r="J91" s="246"/>
    </row>
    <row r="92" s="214" customFormat="1" ht="26.25" customHeight="1" spans="1:10">
      <c r="A92" s="228" t="s">
        <v>245</v>
      </c>
      <c r="B92" s="229"/>
      <c r="C92" s="229"/>
      <c r="D92" s="229"/>
      <c r="E92" s="241"/>
      <c r="F92" s="249"/>
      <c r="G92" s="229"/>
      <c r="H92" s="229"/>
      <c r="I92" s="229"/>
      <c r="J92" s="246"/>
    </row>
    <row r="93" s="214" customFormat="1" ht="26.25" customHeight="1" spans="1:10">
      <c r="A93" s="228" t="s">
        <v>246</v>
      </c>
      <c r="B93" s="229"/>
      <c r="C93" s="229"/>
      <c r="D93" s="229"/>
      <c r="E93" s="241"/>
      <c r="F93" s="249"/>
      <c r="G93" s="229"/>
      <c r="H93" s="229"/>
      <c r="I93" s="229"/>
      <c r="J93" s="246"/>
    </row>
    <row r="94" s="214" customFormat="1" ht="26.25" customHeight="1" spans="1:10">
      <c r="A94" s="228" t="s">
        <v>247</v>
      </c>
      <c r="B94" s="229"/>
      <c r="C94" s="229"/>
      <c r="D94" s="229"/>
      <c r="E94" s="241"/>
      <c r="F94" s="249"/>
      <c r="G94" s="229"/>
      <c r="H94" s="229"/>
      <c r="I94" s="229"/>
      <c r="J94" s="246"/>
    </row>
    <row r="95" s="214" customFormat="1" ht="26.25" customHeight="1" spans="1:12">
      <c r="A95" s="223" t="s">
        <v>1256</v>
      </c>
      <c r="B95" s="229">
        <f>SUM(B5+B6)</f>
        <v>370616</v>
      </c>
      <c r="C95" s="229">
        <f>SUM(C5+C6)</f>
        <v>420800</v>
      </c>
      <c r="D95" s="229">
        <f>SUM(D5+D6)</f>
        <v>350606</v>
      </c>
      <c r="E95" s="241">
        <f>(D95-B95)/B95*100</f>
        <v>-5.4</v>
      </c>
      <c r="F95" s="250" t="s">
        <v>249</v>
      </c>
      <c r="G95" s="251">
        <f t="shared" ref="G95:I95" si="21">G5+G6+G81</f>
        <v>370616</v>
      </c>
      <c r="H95" s="251">
        <f t="shared" si="21"/>
        <v>420800</v>
      </c>
      <c r="I95" s="251">
        <f t="shared" si="21"/>
        <v>350606</v>
      </c>
      <c r="J95" s="246">
        <f>(I95-G95)/G95*100</f>
        <v>-5.4</v>
      </c>
      <c r="L95" s="252">
        <f>I95-D95</f>
        <v>0</v>
      </c>
    </row>
  </sheetData>
  <mergeCells count="4">
    <mergeCell ref="A1:J1"/>
    <mergeCell ref="G2:J2"/>
    <mergeCell ref="A3:C3"/>
    <mergeCell ref="F3:H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zoomScale="110" zoomScaleNormal="110" zoomScaleSheetLayoutView="60" workbookViewId="0">
      <selection activeCell="H18" sqref="H18"/>
    </sheetView>
  </sheetViews>
  <sheetFormatPr defaultColWidth="9" defaultRowHeight="12.75"/>
  <cols>
    <col min="1" max="1" width="35.3416666666667" style="213" customWidth="1"/>
    <col min="2" max="3" width="11.025" style="213" customWidth="1"/>
    <col min="4" max="5" width="10.625" style="213" customWidth="1"/>
    <col min="6" max="6" width="32.625" style="213" customWidth="1"/>
    <col min="7" max="7" width="10.75" style="213" customWidth="1"/>
    <col min="8" max="10" width="10.375" style="213" customWidth="1"/>
    <col min="11" max="11" width="9" style="213"/>
    <col min="12" max="12" width="8.875" style="213" customWidth="1"/>
    <col min="13" max="16384" width="9" style="213"/>
  </cols>
  <sheetData>
    <row r="1" s="213" customFormat="1" ht="24.75" customHeight="1" spans="1:10">
      <c r="A1" s="696" t="s">
        <v>4649</v>
      </c>
      <c r="B1" s="216"/>
      <c r="C1" s="216"/>
      <c r="D1" s="216"/>
      <c r="E1" s="216"/>
      <c r="F1" s="216"/>
      <c r="G1" s="216"/>
      <c r="H1" s="216"/>
      <c r="I1" s="216"/>
      <c r="J1" s="216"/>
    </row>
    <row r="2" s="213" customFormat="1" ht="17.25" customHeight="1" spans="1:10">
      <c r="A2" s="217"/>
      <c r="B2" s="218"/>
      <c r="C2" s="218"/>
      <c r="D2" s="218"/>
      <c r="E2" s="218"/>
      <c r="F2" s="218"/>
      <c r="G2" s="237" t="s">
        <v>4533</v>
      </c>
      <c r="H2" s="237"/>
      <c r="I2" s="237"/>
      <c r="J2" s="237"/>
    </row>
    <row r="3" s="214" customFormat="1" ht="18" customHeight="1" spans="1:10">
      <c r="A3" s="219" t="s">
        <v>86</v>
      </c>
      <c r="B3" s="220"/>
      <c r="C3" s="220"/>
      <c r="D3" s="221"/>
      <c r="E3" s="221"/>
      <c r="F3" s="238" t="s">
        <v>88</v>
      </c>
      <c r="G3" s="239"/>
      <c r="H3" s="239"/>
      <c r="I3" s="220"/>
      <c r="J3" s="245"/>
    </row>
    <row r="4" s="214" customFormat="1" ht="30" customHeight="1" spans="1:10">
      <c r="A4" s="222" t="s">
        <v>89</v>
      </c>
      <c r="B4" s="223" t="s">
        <v>4643</v>
      </c>
      <c r="C4" s="697" t="s">
        <v>4644</v>
      </c>
      <c r="D4" s="223" t="s">
        <v>4645</v>
      </c>
      <c r="E4" s="240" t="s">
        <v>4646</v>
      </c>
      <c r="F4" s="222" t="s">
        <v>89</v>
      </c>
      <c r="G4" s="223" t="s">
        <v>4643</v>
      </c>
      <c r="H4" s="697" t="s">
        <v>4644</v>
      </c>
      <c r="I4" s="223" t="s">
        <v>4645</v>
      </c>
      <c r="J4" s="240" t="s">
        <v>4646</v>
      </c>
    </row>
    <row r="5" s="215" customFormat="1" ht="26.25" customHeight="1" spans="1:10">
      <c r="A5" s="224" t="s">
        <v>97</v>
      </c>
      <c r="B5" s="225">
        <v>22098</v>
      </c>
      <c r="C5" s="225">
        <v>21124</v>
      </c>
      <c r="D5" s="225">
        <v>21758</v>
      </c>
      <c r="E5" s="241">
        <f t="shared" ref="E5:E18" si="0">(D5-B5)/B5*100</f>
        <v>-1.54</v>
      </c>
      <c r="F5" s="224" t="s">
        <v>98</v>
      </c>
      <c r="G5" s="242">
        <v>365680</v>
      </c>
      <c r="H5" s="242">
        <v>337353</v>
      </c>
      <c r="I5" s="242">
        <f>342965-159</f>
        <v>342806</v>
      </c>
      <c r="J5" s="246">
        <f>(I5-G5)/G5*100</f>
        <v>-6.26</v>
      </c>
    </row>
    <row r="6" s="215" customFormat="1" ht="26.25" customHeight="1" spans="1:10">
      <c r="A6" s="226" t="s">
        <v>99</v>
      </c>
      <c r="B6" s="225">
        <f>SUM(B7,B72,B75,B78,B83,B89,B90)</f>
        <v>348518</v>
      </c>
      <c r="C6" s="225">
        <f>SUM(C7,C72,C75,C78,C83,C89,C90)</f>
        <v>399676</v>
      </c>
      <c r="D6" s="225">
        <f>SUM(D7,D72,D75,D78,D83,D89,D90)</f>
        <v>328848</v>
      </c>
      <c r="E6" s="241">
        <f t="shared" si="0"/>
        <v>-5.64</v>
      </c>
      <c r="F6" s="226" t="s">
        <v>100</v>
      </c>
      <c r="G6" s="242">
        <f t="shared" ref="G6:I6" si="1">G7+G14+G50+G72+G75+G78+G79+G80</f>
        <v>4136</v>
      </c>
      <c r="H6" s="242">
        <f t="shared" si="1"/>
        <v>78447</v>
      </c>
      <c r="I6" s="242">
        <f t="shared" si="1"/>
        <v>4100</v>
      </c>
      <c r="J6" s="246">
        <f>(I6-G6)/G6*100</f>
        <v>-0.87</v>
      </c>
    </row>
    <row r="7" s="215" customFormat="1" ht="26.25" customHeight="1" spans="1:10">
      <c r="A7" s="227" t="s">
        <v>101</v>
      </c>
      <c r="B7" s="225">
        <f>SUM(B8+B14+B50)</f>
        <v>232033</v>
      </c>
      <c r="C7" s="225">
        <f>SUM(C8+C14+C50)</f>
        <v>289325</v>
      </c>
      <c r="D7" s="225">
        <f>SUM(D8+D14+D50)</f>
        <v>254514</v>
      </c>
      <c r="E7" s="241">
        <f t="shared" si="0"/>
        <v>9.69</v>
      </c>
      <c r="F7" s="243" t="s">
        <v>102</v>
      </c>
      <c r="G7" s="225">
        <f t="shared" ref="G7:I7" si="2">SUM(G8:G13)</f>
        <v>0</v>
      </c>
      <c r="H7" s="225">
        <f t="shared" si="2"/>
        <v>0</v>
      </c>
      <c r="I7" s="225">
        <f t="shared" si="2"/>
        <v>0</v>
      </c>
      <c r="J7" s="246"/>
    </row>
    <row r="8" s="215" customFormat="1" ht="26.25" customHeight="1" spans="1:10">
      <c r="A8" s="227" t="s">
        <v>103</v>
      </c>
      <c r="B8" s="225">
        <f>SUM(B9:B13)</f>
        <v>3844</v>
      </c>
      <c r="C8" s="225">
        <f>SUM(C9:C13)</f>
        <v>3844</v>
      </c>
      <c r="D8" s="225">
        <f>SUM(D9:D13)</f>
        <v>3844</v>
      </c>
      <c r="E8" s="241">
        <f t="shared" si="0"/>
        <v>0</v>
      </c>
      <c r="F8" s="230" t="s">
        <v>104</v>
      </c>
      <c r="G8" s="229"/>
      <c r="H8" s="229"/>
      <c r="I8" s="229"/>
      <c r="J8" s="246"/>
    </row>
    <row r="9" s="215" customFormat="1" ht="26.25" customHeight="1" spans="1:10">
      <c r="A9" s="228" t="s">
        <v>105</v>
      </c>
      <c r="B9" s="229">
        <v>404</v>
      </c>
      <c r="C9" s="229">
        <v>404</v>
      </c>
      <c r="D9" s="229">
        <v>404</v>
      </c>
      <c r="E9" s="241">
        <f t="shared" si="0"/>
        <v>0</v>
      </c>
      <c r="F9" s="230" t="s">
        <v>106</v>
      </c>
      <c r="G9" s="229"/>
      <c r="H9" s="229"/>
      <c r="I9" s="229"/>
      <c r="J9" s="246"/>
    </row>
    <row r="10" s="215" customFormat="1" ht="26.25" customHeight="1" spans="1:10">
      <c r="A10" s="228" t="s">
        <v>107</v>
      </c>
      <c r="B10" s="229">
        <v>197</v>
      </c>
      <c r="C10" s="229">
        <v>197</v>
      </c>
      <c r="D10" s="229">
        <v>197</v>
      </c>
      <c r="E10" s="241">
        <f t="shared" si="0"/>
        <v>0</v>
      </c>
      <c r="F10" s="230" t="s">
        <v>108</v>
      </c>
      <c r="G10" s="229"/>
      <c r="H10" s="229"/>
      <c r="I10" s="229"/>
      <c r="J10" s="246"/>
    </row>
    <row r="11" s="215" customFormat="1" ht="26.25" customHeight="1" spans="1:10">
      <c r="A11" s="228" t="s">
        <v>109</v>
      </c>
      <c r="B11" s="229">
        <v>657</v>
      </c>
      <c r="C11" s="229">
        <v>657</v>
      </c>
      <c r="D11" s="229">
        <v>657</v>
      </c>
      <c r="E11" s="241">
        <f t="shared" si="0"/>
        <v>0</v>
      </c>
      <c r="F11" s="230" t="s">
        <v>110</v>
      </c>
      <c r="G11" s="229"/>
      <c r="H11" s="229"/>
      <c r="I11" s="229"/>
      <c r="J11" s="246"/>
    </row>
    <row r="12" s="215" customFormat="1" ht="26.25" customHeight="1" spans="1:10">
      <c r="A12" s="228" t="s">
        <v>111</v>
      </c>
      <c r="B12" s="229">
        <f>2235-256</f>
        <v>1979</v>
      </c>
      <c r="C12" s="229">
        <f>2235-256</f>
        <v>1979</v>
      </c>
      <c r="D12" s="229">
        <f>2235-256</f>
        <v>1979</v>
      </c>
      <c r="E12" s="241">
        <f t="shared" si="0"/>
        <v>0</v>
      </c>
      <c r="F12" s="230" t="s">
        <v>112</v>
      </c>
      <c r="G12" s="229"/>
      <c r="H12" s="229"/>
      <c r="I12" s="229"/>
      <c r="J12" s="246"/>
    </row>
    <row r="13" s="215" customFormat="1" ht="26.25" customHeight="1" spans="1:10">
      <c r="A13" s="228" t="s">
        <v>113</v>
      </c>
      <c r="B13" s="229">
        <v>607</v>
      </c>
      <c r="C13" s="229">
        <v>607</v>
      </c>
      <c r="D13" s="229">
        <v>607</v>
      </c>
      <c r="E13" s="241">
        <f t="shared" si="0"/>
        <v>0</v>
      </c>
      <c r="F13" s="230" t="s">
        <v>114</v>
      </c>
      <c r="G13" s="229"/>
      <c r="H13" s="229"/>
      <c r="I13" s="229"/>
      <c r="J13" s="246"/>
    </row>
    <row r="14" s="215" customFormat="1" ht="26.25" customHeight="1" spans="1:10">
      <c r="A14" s="651" t="s">
        <v>115</v>
      </c>
      <c r="B14" s="225">
        <f t="shared" ref="B14:I14" si="3">SUM(B15:B49)</f>
        <v>226816</v>
      </c>
      <c r="C14" s="225">
        <f t="shared" si="3"/>
        <v>273240</v>
      </c>
      <c r="D14" s="225">
        <f t="shared" si="3"/>
        <v>246399</v>
      </c>
      <c r="E14" s="241">
        <f t="shared" si="0"/>
        <v>8.63</v>
      </c>
      <c r="F14" s="243" t="s">
        <v>116</v>
      </c>
      <c r="G14" s="244">
        <f t="shared" si="3"/>
        <v>0</v>
      </c>
      <c r="H14" s="244">
        <f t="shared" si="3"/>
        <v>0</v>
      </c>
      <c r="I14" s="244">
        <f t="shared" si="3"/>
        <v>0</v>
      </c>
      <c r="J14" s="246"/>
    </row>
    <row r="15" s="215" customFormat="1" ht="26.25" customHeight="1" spans="1:10">
      <c r="A15" s="230" t="s">
        <v>117</v>
      </c>
      <c r="B15" s="229">
        <v>1764</v>
      </c>
      <c r="C15" s="229">
        <v>1764</v>
      </c>
      <c r="D15" s="229">
        <v>1764</v>
      </c>
      <c r="E15" s="241">
        <f t="shared" si="0"/>
        <v>0</v>
      </c>
      <c r="F15" s="230" t="s">
        <v>118</v>
      </c>
      <c r="G15" s="225">
        <f t="shared" ref="G15:I15" si="4">SUM(G16:G29)</f>
        <v>0</v>
      </c>
      <c r="H15" s="225">
        <f t="shared" si="4"/>
        <v>0</v>
      </c>
      <c r="I15" s="225">
        <f t="shared" si="4"/>
        <v>0</v>
      </c>
      <c r="J15" s="246"/>
    </row>
    <row r="16" s="215" customFormat="1" ht="26.25" customHeight="1" spans="1:10">
      <c r="A16" s="230" t="s">
        <v>119</v>
      </c>
      <c r="B16" s="229">
        <f>53272+10509</f>
        <v>63781</v>
      </c>
      <c r="C16" s="229">
        <v>70632</v>
      </c>
      <c r="D16" s="231">
        <f>61369+9263</f>
        <v>70632</v>
      </c>
      <c r="E16" s="241">
        <f t="shared" si="0"/>
        <v>10.74</v>
      </c>
      <c r="F16" s="230" t="s">
        <v>120</v>
      </c>
      <c r="G16" s="229"/>
      <c r="H16" s="229"/>
      <c r="I16" s="229"/>
      <c r="J16" s="246"/>
    </row>
    <row r="17" s="215" customFormat="1" ht="26.25" customHeight="1" spans="1:10">
      <c r="A17" s="230" t="s">
        <v>121</v>
      </c>
      <c r="B17" s="229">
        <f>16014+896</f>
        <v>16910</v>
      </c>
      <c r="C17" s="229">
        <v>19710</v>
      </c>
      <c r="D17" s="231">
        <f>16020+3690</f>
        <v>19710</v>
      </c>
      <c r="E17" s="241">
        <f t="shared" si="0"/>
        <v>16.56</v>
      </c>
      <c r="F17" s="230" t="s">
        <v>122</v>
      </c>
      <c r="G17" s="229"/>
      <c r="H17" s="229"/>
      <c r="I17" s="229"/>
      <c r="J17" s="246"/>
    </row>
    <row r="18" s="215" customFormat="1" ht="26.25" customHeight="1" spans="1:10">
      <c r="A18" s="230" t="s">
        <v>123</v>
      </c>
      <c r="B18" s="229">
        <f>376+339</f>
        <v>715</v>
      </c>
      <c r="C18" s="229">
        <v>3487</v>
      </c>
      <c r="D18" s="229">
        <v>6060</v>
      </c>
      <c r="E18" s="241">
        <f t="shared" si="0"/>
        <v>747.55</v>
      </c>
      <c r="F18" s="230" t="s">
        <v>124</v>
      </c>
      <c r="G18" s="229"/>
      <c r="H18" s="229"/>
      <c r="I18" s="229"/>
      <c r="J18" s="246"/>
    </row>
    <row r="19" s="215" customFormat="1" ht="26.25" customHeight="1" spans="1:10">
      <c r="A19" s="230" t="s">
        <v>125</v>
      </c>
      <c r="B19" s="232"/>
      <c r="C19" s="229"/>
      <c r="D19" s="229"/>
      <c r="E19" s="241"/>
      <c r="F19" s="230" t="s">
        <v>126</v>
      </c>
      <c r="G19" s="229"/>
      <c r="H19" s="229"/>
      <c r="I19" s="229"/>
      <c r="J19" s="246"/>
    </row>
    <row r="20" s="215" customFormat="1" ht="26.25" customHeight="1" spans="1:10">
      <c r="A20" s="230" t="s">
        <v>127</v>
      </c>
      <c r="B20" s="232"/>
      <c r="C20" s="229"/>
      <c r="D20" s="229"/>
      <c r="E20" s="241"/>
      <c r="F20" s="230" t="s">
        <v>128</v>
      </c>
      <c r="G20" s="225">
        <f t="shared" ref="G20:I20" si="5">SUM(G21:G39)</f>
        <v>0</v>
      </c>
      <c r="H20" s="225">
        <f t="shared" si="5"/>
        <v>0</v>
      </c>
      <c r="I20" s="225">
        <f t="shared" si="5"/>
        <v>0</v>
      </c>
      <c r="J20" s="246"/>
    </row>
    <row r="21" s="215" customFormat="1" ht="26.25" customHeight="1" spans="1:10">
      <c r="A21" s="230" t="s">
        <v>129</v>
      </c>
      <c r="B21" s="229">
        <v>794</v>
      </c>
      <c r="C21" s="229">
        <v>899</v>
      </c>
      <c r="D21" s="229">
        <v>809</v>
      </c>
      <c r="E21" s="241">
        <f t="shared" ref="E21:E25" si="6">(D21-B21)/B21*100</f>
        <v>1.89</v>
      </c>
      <c r="F21" s="230" t="s">
        <v>130</v>
      </c>
      <c r="G21" s="229"/>
      <c r="H21" s="229"/>
      <c r="I21" s="229"/>
      <c r="J21" s="246"/>
    </row>
    <row r="22" s="215" customFormat="1" ht="26.25" customHeight="1" spans="1:10">
      <c r="A22" s="230" t="s">
        <v>131</v>
      </c>
      <c r="B22" s="233">
        <f>8135+4000</f>
        <v>12135</v>
      </c>
      <c r="C22" s="233">
        <v>10256</v>
      </c>
      <c r="D22" s="234">
        <f>9230+1026</f>
        <v>10256</v>
      </c>
      <c r="E22" s="241">
        <f t="shared" si="6"/>
        <v>-15.48</v>
      </c>
      <c r="F22" s="230" t="s">
        <v>132</v>
      </c>
      <c r="G22" s="229"/>
      <c r="H22" s="229"/>
      <c r="I22" s="229"/>
      <c r="J22" s="246"/>
    </row>
    <row r="23" s="215" customFormat="1" ht="26.25" customHeight="1" spans="1:10">
      <c r="A23" s="230" t="s">
        <v>133</v>
      </c>
      <c r="B23" s="233">
        <f>13134</f>
        <v>13134</v>
      </c>
      <c r="C23" s="233">
        <v>13572</v>
      </c>
      <c r="D23" s="233">
        <v>13134</v>
      </c>
      <c r="E23" s="241">
        <f t="shared" si="6"/>
        <v>0</v>
      </c>
      <c r="F23" s="230" t="s">
        <v>134</v>
      </c>
      <c r="G23" s="229"/>
      <c r="H23" s="229"/>
      <c r="I23" s="229"/>
      <c r="J23" s="246"/>
    </row>
    <row r="24" s="215" customFormat="1" ht="26.25" customHeight="1" spans="1:10">
      <c r="A24" s="230" t="s">
        <v>135</v>
      </c>
      <c r="B24" s="233">
        <v>903</v>
      </c>
      <c r="C24" s="233">
        <v>1103</v>
      </c>
      <c r="D24" s="233">
        <v>911</v>
      </c>
      <c r="E24" s="241">
        <f t="shared" si="6"/>
        <v>0.89</v>
      </c>
      <c r="F24" s="230" t="s">
        <v>136</v>
      </c>
      <c r="G24" s="229"/>
      <c r="H24" s="229"/>
      <c r="I24" s="229"/>
      <c r="J24" s="246"/>
    </row>
    <row r="25" s="215" customFormat="1" ht="26.25" customHeight="1" spans="1:10">
      <c r="A25" s="230" t="s">
        <v>137</v>
      </c>
      <c r="B25" s="233">
        <f>11487+10769</f>
        <v>22256</v>
      </c>
      <c r="C25" s="233">
        <v>12992</v>
      </c>
      <c r="D25" s="234">
        <f>11487+1505</f>
        <v>12992</v>
      </c>
      <c r="E25" s="241">
        <f t="shared" si="6"/>
        <v>-41.62</v>
      </c>
      <c r="F25" s="230" t="s">
        <v>138</v>
      </c>
      <c r="G25" s="229"/>
      <c r="H25" s="229"/>
      <c r="I25" s="229"/>
      <c r="J25" s="246"/>
    </row>
    <row r="26" s="215" customFormat="1" ht="26.25" customHeight="1" spans="1:10">
      <c r="A26" s="230" t="s">
        <v>139</v>
      </c>
      <c r="B26" s="229"/>
      <c r="C26" s="229"/>
      <c r="D26" s="229"/>
      <c r="E26" s="241"/>
      <c r="F26" s="230" t="s">
        <v>140</v>
      </c>
      <c r="G26" s="229"/>
      <c r="H26" s="229"/>
      <c r="I26" s="229"/>
      <c r="J26" s="246"/>
    </row>
    <row r="27" s="215" customFormat="1" ht="26.25" customHeight="1" spans="1:10">
      <c r="A27" s="230" t="s">
        <v>141</v>
      </c>
      <c r="B27" s="229">
        <v>34839</v>
      </c>
      <c r="C27" s="229">
        <v>52439</v>
      </c>
      <c r="D27" s="229">
        <v>26170</v>
      </c>
      <c r="E27" s="241">
        <f t="shared" ref="E27:E32" si="7">(D27-B27)/B27*100</f>
        <v>-24.88</v>
      </c>
      <c r="F27" s="230" t="s">
        <v>142</v>
      </c>
      <c r="G27" s="229"/>
      <c r="H27" s="229"/>
      <c r="I27" s="229"/>
      <c r="J27" s="246"/>
    </row>
    <row r="28" s="215" customFormat="1" ht="26.25" customHeight="1" spans="1:10">
      <c r="A28" s="230" t="s">
        <v>143</v>
      </c>
      <c r="B28" s="232"/>
      <c r="C28" s="229"/>
      <c r="D28" s="229"/>
      <c r="E28" s="241"/>
      <c r="F28" s="230" t="s">
        <v>144</v>
      </c>
      <c r="G28" s="229"/>
      <c r="H28" s="229"/>
      <c r="I28" s="229"/>
      <c r="J28" s="246"/>
    </row>
    <row r="29" s="215" customFormat="1" ht="26.25" customHeight="1" spans="1:10">
      <c r="A29" s="230" t="s">
        <v>145</v>
      </c>
      <c r="B29" s="232"/>
      <c r="C29" s="229"/>
      <c r="D29" s="229"/>
      <c r="E29" s="241"/>
      <c r="F29" s="230" t="s">
        <v>146</v>
      </c>
      <c r="G29" s="229"/>
      <c r="H29" s="229"/>
      <c r="I29" s="229"/>
      <c r="J29" s="246"/>
    </row>
    <row r="30" s="215" customFormat="1" ht="26.25" customHeight="1" spans="1:10">
      <c r="A30" s="230" t="s">
        <v>147</v>
      </c>
      <c r="B30" s="232"/>
      <c r="C30" s="229"/>
      <c r="D30" s="229"/>
      <c r="E30" s="241"/>
      <c r="F30" s="230" t="s">
        <v>148</v>
      </c>
      <c r="G30" s="225">
        <f t="shared" ref="G30:I30" si="8">SUM(G31:G49)</f>
        <v>0</v>
      </c>
      <c r="H30" s="225">
        <f t="shared" si="8"/>
        <v>0</v>
      </c>
      <c r="I30" s="225">
        <f t="shared" si="8"/>
        <v>0</v>
      </c>
      <c r="J30" s="246"/>
    </row>
    <row r="31" s="215" customFormat="1" ht="26.25" customHeight="1" spans="1:10">
      <c r="A31" s="230" t="s">
        <v>149</v>
      </c>
      <c r="B31" s="229">
        <v>8</v>
      </c>
      <c r="C31" s="229">
        <v>1568</v>
      </c>
      <c r="D31" s="229">
        <v>1230</v>
      </c>
      <c r="E31" s="241">
        <f t="shared" si="7"/>
        <v>15275</v>
      </c>
      <c r="F31" s="230" t="s">
        <v>150</v>
      </c>
      <c r="G31" s="229"/>
      <c r="H31" s="229"/>
      <c r="I31" s="229"/>
      <c r="J31" s="246"/>
    </row>
    <row r="32" s="215" customFormat="1" ht="26.25" customHeight="1" spans="1:10">
      <c r="A32" s="230" t="s">
        <v>151</v>
      </c>
      <c r="B32" s="229">
        <f>3241+10000</f>
        <v>13241</v>
      </c>
      <c r="C32" s="233">
        <v>21445</v>
      </c>
      <c r="D32" s="233">
        <v>19543</v>
      </c>
      <c r="E32" s="241">
        <f t="shared" si="7"/>
        <v>47.59</v>
      </c>
      <c r="F32" s="230" t="s">
        <v>152</v>
      </c>
      <c r="G32" s="229"/>
      <c r="H32" s="229"/>
      <c r="I32" s="229"/>
      <c r="J32" s="246"/>
    </row>
    <row r="33" s="215" customFormat="1" ht="26.25" customHeight="1" spans="1:10">
      <c r="A33" s="230" t="s">
        <v>153</v>
      </c>
      <c r="B33" s="232"/>
      <c r="C33" s="233"/>
      <c r="D33" s="233"/>
      <c r="E33" s="241"/>
      <c r="F33" s="230" t="s">
        <v>154</v>
      </c>
      <c r="G33" s="229"/>
      <c r="H33" s="229"/>
      <c r="I33" s="229"/>
      <c r="J33" s="246"/>
    </row>
    <row r="34" s="215" customFormat="1" ht="26.25" customHeight="1" spans="1:10">
      <c r="A34" s="230" t="s">
        <v>155</v>
      </c>
      <c r="B34" s="232"/>
      <c r="C34" s="233">
        <v>948</v>
      </c>
      <c r="D34" s="233">
        <v>670</v>
      </c>
      <c r="E34" s="241"/>
      <c r="F34" s="230" t="s">
        <v>156</v>
      </c>
      <c r="G34" s="229"/>
      <c r="H34" s="229"/>
      <c r="I34" s="229"/>
      <c r="J34" s="246"/>
    </row>
    <row r="35" s="215" customFormat="1" ht="26.25" customHeight="1" spans="1:10">
      <c r="A35" s="230" t="s">
        <v>157</v>
      </c>
      <c r="B35" s="229">
        <f>22164+3000</f>
        <v>25164</v>
      </c>
      <c r="C35" s="233">
        <v>31846</v>
      </c>
      <c r="D35" s="233">
        <v>31498</v>
      </c>
      <c r="E35" s="241">
        <f t="shared" ref="E35:E37" si="9">(D35-B35)/B35*100</f>
        <v>25.17</v>
      </c>
      <c r="F35" s="230" t="s">
        <v>158</v>
      </c>
      <c r="G35" s="229"/>
      <c r="H35" s="229"/>
      <c r="I35" s="229"/>
      <c r="J35" s="246"/>
    </row>
    <row r="36" s="215" customFormat="1" ht="26.25" customHeight="1" spans="1:10">
      <c r="A36" s="230" t="s">
        <v>4647</v>
      </c>
      <c r="B36" s="229">
        <f>4756+1000</f>
        <v>5756</v>
      </c>
      <c r="C36" s="229">
        <v>11525</v>
      </c>
      <c r="D36" s="229">
        <v>9657</v>
      </c>
      <c r="E36" s="241">
        <f t="shared" si="9"/>
        <v>67.77</v>
      </c>
      <c r="F36" s="230" t="s">
        <v>4648</v>
      </c>
      <c r="G36" s="229"/>
      <c r="H36" s="229"/>
      <c r="I36" s="229"/>
      <c r="J36" s="246"/>
    </row>
    <row r="37" s="215" customFormat="1" ht="26.25" customHeight="1" spans="1:10">
      <c r="A37" s="230" t="s">
        <v>161</v>
      </c>
      <c r="B37" s="229">
        <v>1660</v>
      </c>
      <c r="C37" s="229">
        <v>3212</v>
      </c>
      <c r="D37" s="229">
        <v>1931</v>
      </c>
      <c r="E37" s="241">
        <f t="shared" si="9"/>
        <v>16.33</v>
      </c>
      <c r="F37" s="230" t="s">
        <v>162</v>
      </c>
      <c r="G37" s="229"/>
      <c r="H37" s="229"/>
      <c r="I37" s="229"/>
      <c r="J37" s="246"/>
    </row>
    <row r="38" s="215" customFormat="1" ht="26.25" customHeight="1" spans="1:10">
      <c r="A38" s="230" t="s">
        <v>163</v>
      </c>
      <c r="B38" s="229"/>
      <c r="C38" s="229"/>
      <c r="D38" s="229"/>
      <c r="E38" s="241"/>
      <c r="F38" s="230" t="s">
        <v>164</v>
      </c>
      <c r="G38" s="229"/>
      <c r="H38" s="229"/>
      <c r="I38" s="229"/>
      <c r="J38" s="246"/>
    </row>
    <row r="39" s="215" customFormat="1" ht="26.25" customHeight="1" spans="1:10">
      <c r="A39" s="230" t="s">
        <v>165</v>
      </c>
      <c r="B39" s="229">
        <f>5122+7121</f>
        <v>12243</v>
      </c>
      <c r="C39" s="229">
        <v>11246</v>
      </c>
      <c r="D39" s="229">
        <f>3580</f>
        <v>3580</v>
      </c>
      <c r="E39" s="241">
        <f>(D39-B39)/B39*100</f>
        <v>-70.76</v>
      </c>
      <c r="F39" s="230" t="s">
        <v>166</v>
      </c>
      <c r="G39" s="229"/>
      <c r="H39" s="229"/>
      <c r="I39" s="229"/>
      <c r="J39" s="246"/>
    </row>
    <row r="40" s="215" customFormat="1" ht="26.25" customHeight="1" spans="1:10">
      <c r="A40" s="230" t="s">
        <v>167</v>
      </c>
      <c r="B40" s="229">
        <v>791</v>
      </c>
      <c r="C40" s="229">
        <v>1719</v>
      </c>
      <c r="D40" s="229">
        <v>223</v>
      </c>
      <c r="E40" s="241">
        <f>(D40-B40)/B40*100</f>
        <v>-71.81</v>
      </c>
      <c r="F40" s="230" t="s">
        <v>168</v>
      </c>
      <c r="G40" s="229"/>
      <c r="H40" s="229"/>
      <c r="I40" s="229"/>
      <c r="J40" s="246"/>
    </row>
    <row r="41" s="215" customFormat="1" ht="26.25" customHeight="1" spans="1:10">
      <c r="A41" s="230" t="s">
        <v>169</v>
      </c>
      <c r="B41" s="232"/>
      <c r="C41" s="229"/>
      <c r="D41" s="229"/>
      <c r="E41" s="241"/>
      <c r="F41" s="230" t="s">
        <v>170</v>
      </c>
      <c r="G41" s="229"/>
      <c r="H41" s="229"/>
      <c r="I41" s="229"/>
      <c r="J41" s="246"/>
    </row>
    <row r="42" s="215" customFormat="1" ht="26.25" customHeight="1" spans="1:10">
      <c r="A42" s="230" t="s">
        <v>171</v>
      </c>
      <c r="B42" s="232"/>
      <c r="C42" s="229"/>
      <c r="D42" s="229"/>
      <c r="E42" s="241"/>
      <c r="F42" s="230" t="s">
        <v>172</v>
      </c>
      <c r="G42" s="229"/>
      <c r="H42" s="229"/>
      <c r="I42" s="229"/>
      <c r="J42" s="246"/>
    </row>
    <row r="43" s="215" customFormat="1" ht="26.25" customHeight="1" spans="1:10">
      <c r="A43" s="230" t="s">
        <v>173</v>
      </c>
      <c r="B43" s="232"/>
      <c r="C43" s="229"/>
      <c r="D43" s="229"/>
      <c r="E43" s="241"/>
      <c r="F43" s="230" t="s">
        <v>174</v>
      </c>
      <c r="G43" s="229"/>
      <c r="H43" s="229"/>
      <c r="I43" s="229"/>
      <c r="J43" s="246"/>
    </row>
    <row r="44" s="215" customFormat="1" ht="26.25" customHeight="1" spans="1:10">
      <c r="A44" s="230" t="s">
        <v>175</v>
      </c>
      <c r="B44" s="232"/>
      <c r="C44" s="229"/>
      <c r="D44" s="229"/>
      <c r="E44" s="241"/>
      <c r="F44" s="230" t="s">
        <v>176</v>
      </c>
      <c r="G44" s="229"/>
      <c r="H44" s="229"/>
      <c r="I44" s="229"/>
      <c r="J44" s="246"/>
    </row>
    <row r="45" s="215" customFormat="1" ht="26.25" customHeight="1" spans="1:10">
      <c r="A45" s="230" t="s">
        <v>177</v>
      </c>
      <c r="B45" s="229">
        <v>492</v>
      </c>
      <c r="C45" s="229">
        <v>602</v>
      </c>
      <c r="D45" s="229">
        <v>483</v>
      </c>
      <c r="E45" s="241">
        <f t="shared" ref="E45:E51" si="10">(D45-B45)/B45*100</f>
        <v>-1.83</v>
      </c>
      <c r="F45" s="230" t="s">
        <v>178</v>
      </c>
      <c r="G45" s="229"/>
      <c r="H45" s="229"/>
      <c r="I45" s="229"/>
      <c r="J45" s="246"/>
    </row>
    <row r="46" s="215" customFormat="1" ht="26.25" customHeight="1" spans="1:10">
      <c r="A46" s="230" t="s">
        <v>179</v>
      </c>
      <c r="B46" s="232"/>
      <c r="C46" s="229"/>
      <c r="D46" s="229"/>
      <c r="E46" s="241"/>
      <c r="F46" s="230" t="s">
        <v>180</v>
      </c>
      <c r="G46" s="229"/>
      <c r="H46" s="229"/>
      <c r="I46" s="229"/>
      <c r="J46" s="246"/>
    </row>
    <row r="47" s="215" customFormat="1" ht="26.25" customHeight="1" spans="1:10">
      <c r="A47" s="230" t="s">
        <v>181</v>
      </c>
      <c r="B47" s="232"/>
      <c r="C47" s="229">
        <v>85</v>
      </c>
      <c r="D47" s="229">
        <v>150</v>
      </c>
      <c r="E47" s="241"/>
      <c r="F47" s="230" t="s">
        <v>182</v>
      </c>
      <c r="G47" s="229"/>
      <c r="H47" s="229"/>
      <c r="I47" s="229"/>
      <c r="J47" s="246"/>
    </row>
    <row r="48" s="215" customFormat="1" ht="26.25" customHeight="1" spans="1:10">
      <c r="A48" s="230" t="s">
        <v>183</v>
      </c>
      <c r="B48" s="232"/>
      <c r="C48" s="229"/>
      <c r="D48" s="229"/>
      <c r="E48" s="241"/>
      <c r="F48" s="230" t="s">
        <v>184</v>
      </c>
      <c r="G48" s="229"/>
      <c r="H48" s="229"/>
      <c r="I48" s="229"/>
      <c r="J48" s="246"/>
    </row>
    <row r="49" s="215" customFormat="1" ht="26.25" customHeight="1" spans="1:10">
      <c r="A49" s="230" t="s">
        <v>185</v>
      </c>
      <c r="B49" s="229">
        <v>230</v>
      </c>
      <c r="C49" s="229">
        <v>2190</v>
      </c>
      <c r="D49" s="231">
        <f>805+14191</f>
        <v>14996</v>
      </c>
      <c r="E49" s="241">
        <f t="shared" si="10"/>
        <v>6420</v>
      </c>
      <c r="F49" s="230" t="s">
        <v>186</v>
      </c>
      <c r="G49" s="229"/>
      <c r="H49" s="229"/>
      <c r="I49" s="229"/>
      <c r="J49" s="246"/>
    </row>
    <row r="50" s="215" customFormat="1" ht="26.25" customHeight="1" spans="1:10">
      <c r="A50" s="235" t="s">
        <v>187</v>
      </c>
      <c r="B50" s="225">
        <f t="shared" ref="B50:I50" si="11">SUM(B51:B71)</f>
        <v>1373</v>
      </c>
      <c r="C50" s="225">
        <f t="shared" si="11"/>
        <v>12241</v>
      </c>
      <c r="D50" s="225">
        <f t="shared" si="11"/>
        <v>4271</v>
      </c>
      <c r="E50" s="241">
        <f t="shared" si="10"/>
        <v>211.07</v>
      </c>
      <c r="F50" s="227" t="s">
        <v>188</v>
      </c>
      <c r="G50" s="225">
        <f t="shared" si="11"/>
        <v>0</v>
      </c>
      <c r="H50" s="225">
        <f t="shared" si="11"/>
        <v>0</v>
      </c>
      <c r="I50" s="225">
        <f t="shared" si="11"/>
        <v>0</v>
      </c>
      <c r="J50" s="246"/>
    </row>
    <row r="51" s="215" customFormat="1" ht="26.25" customHeight="1" spans="1:10">
      <c r="A51" s="230" t="s">
        <v>189</v>
      </c>
      <c r="B51" s="229">
        <v>55</v>
      </c>
      <c r="C51" s="229">
        <v>404</v>
      </c>
      <c r="D51" s="229">
        <v>79</v>
      </c>
      <c r="E51" s="241">
        <f t="shared" si="10"/>
        <v>43.64</v>
      </c>
      <c r="F51" s="230" t="s">
        <v>189</v>
      </c>
      <c r="G51" s="229"/>
      <c r="H51" s="229"/>
      <c r="I51" s="229"/>
      <c r="J51" s="246"/>
    </row>
    <row r="52" s="215" customFormat="1" ht="26.25" customHeight="1" spans="1:10">
      <c r="A52" s="230" t="s">
        <v>190</v>
      </c>
      <c r="B52" s="229"/>
      <c r="C52" s="229"/>
      <c r="D52" s="229"/>
      <c r="E52" s="241"/>
      <c r="F52" s="230" t="s">
        <v>190</v>
      </c>
      <c r="G52" s="229"/>
      <c r="H52" s="229"/>
      <c r="I52" s="229"/>
      <c r="J52" s="246"/>
    </row>
    <row r="53" s="215" customFormat="1" ht="26.25" customHeight="1" spans="1:10">
      <c r="A53" s="230" t="s">
        <v>191</v>
      </c>
      <c r="B53" s="229"/>
      <c r="C53" s="229"/>
      <c r="D53" s="229"/>
      <c r="E53" s="241"/>
      <c r="F53" s="230" t="s">
        <v>191</v>
      </c>
      <c r="G53" s="229"/>
      <c r="H53" s="229"/>
      <c r="I53" s="229"/>
      <c r="J53" s="246"/>
    </row>
    <row r="54" s="215" customFormat="1" ht="26.25" customHeight="1" spans="1:10">
      <c r="A54" s="230" t="s">
        <v>192</v>
      </c>
      <c r="B54" s="229"/>
      <c r="C54" s="229"/>
      <c r="D54" s="229"/>
      <c r="E54" s="241"/>
      <c r="F54" s="230" t="s">
        <v>192</v>
      </c>
      <c r="G54" s="229"/>
      <c r="H54" s="229"/>
      <c r="I54" s="229"/>
      <c r="J54" s="246"/>
    </row>
    <row r="55" s="215" customFormat="1" ht="26.25" customHeight="1" spans="1:10">
      <c r="A55" s="230" t="s">
        <v>193</v>
      </c>
      <c r="B55" s="233"/>
      <c r="C55" s="233">
        <v>30</v>
      </c>
      <c r="D55" s="233"/>
      <c r="E55" s="241"/>
      <c r="F55" s="230" t="s">
        <v>193</v>
      </c>
      <c r="G55" s="229"/>
      <c r="H55" s="229"/>
      <c r="I55" s="229"/>
      <c r="J55" s="246"/>
    </row>
    <row r="56" s="215" customFormat="1" ht="26.25" customHeight="1" spans="1:10">
      <c r="A56" s="230" t="s">
        <v>194</v>
      </c>
      <c r="B56" s="233"/>
      <c r="C56" s="233"/>
      <c r="D56" s="233"/>
      <c r="E56" s="241"/>
      <c r="F56" s="230" t="s">
        <v>194</v>
      </c>
      <c r="G56" s="229"/>
      <c r="H56" s="229"/>
      <c r="I56" s="229"/>
      <c r="J56" s="246"/>
    </row>
    <row r="57" s="215" customFormat="1" ht="26.25" customHeight="1" spans="1:10">
      <c r="A57" s="230" t="s">
        <v>195</v>
      </c>
      <c r="B57" s="41"/>
      <c r="C57" s="41">
        <v>46</v>
      </c>
      <c r="D57" s="41">
        <v>70</v>
      </c>
      <c r="E57" s="241"/>
      <c r="F57" s="230" t="s">
        <v>195</v>
      </c>
      <c r="G57" s="229"/>
      <c r="H57" s="229"/>
      <c r="I57" s="229"/>
      <c r="J57" s="246"/>
    </row>
    <row r="58" s="215" customFormat="1" ht="26.25" customHeight="1" spans="1:10">
      <c r="A58" s="230" t="s">
        <v>196</v>
      </c>
      <c r="B58" s="236">
        <v>28</v>
      </c>
      <c r="C58" s="41">
        <v>93</v>
      </c>
      <c r="D58" s="41">
        <v>39</v>
      </c>
      <c r="E58" s="241">
        <f t="shared" ref="E58:E63" si="12">(D58-B58)/B58*100</f>
        <v>39.29</v>
      </c>
      <c r="F58" s="230" t="s">
        <v>196</v>
      </c>
      <c r="G58" s="229"/>
      <c r="H58" s="229"/>
      <c r="I58" s="229"/>
      <c r="J58" s="246"/>
    </row>
    <row r="59" s="215" customFormat="1" ht="26.25" customHeight="1" spans="1:10">
      <c r="A59" s="230" t="s">
        <v>197</v>
      </c>
      <c r="B59" s="236"/>
      <c r="C59" s="41">
        <v>268</v>
      </c>
      <c r="D59" s="41"/>
      <c r="E59" s="241"/>
      <c r="F59" s="230" t="s">
        <v>197</v>
      </c>
      <c r="G59" s="229"/>
      <c r="H59" s="229"/>
      <c r="I59" s="229"/>
      <c r="J59" s="246"/>
    </row>
    <row r="60" s="215" customFormat="1" ht="26.25" customHeight="1" spans="1:10">
      <c r="A60" s="230" t="s">
        <v>198</v>
      </c>
      <c r="B60" s="236">
        <v>20</v>
      </c>
      <c r="C60" s="41">
        <v>193</v>
      </c>
      <c r="D60" s="41"/>
      <c r="E60" s="241">
        <f t="shared" si="12"/>
        <v>-100</v>
      </c>
      <c r="F60" s="230" t="s">
        <v>198</v>
      </c>
      <c r="G60" s="229"/>
      <c r="H60" s="229"/>
      <c r="I60" s="229"/>
      <c r="J60" s="246"/>
    </row>
    <row r="61" s="215" customFormat="1" ht="26.25" customHeight="1" spans="1:10">
      <c r="A61" s="230" t="s">
        <v>199</v>
      </c>
      <c r="B61" s="236"/>
      <c r="C61" s="41">
        <v>292</v>
      </c>
      <c r="D61" s="41"/>
      <c r="E61" s="241"/>
      <c r="F61" s="230" t="s">
        <v>199</v>
      </c>
      <c r="G61" s="229"/>
      <c r="H61" s="229"/>
      <c r="I61" s="229"/>
      <c r="J61" s="246"/>
    </row>
    <row r="62" s="215" customFormat="1" ht="26.25" customHeight="1" spans="1:10">
      <c r="A62" s="230" t="s">
        <v>200</v>
      </c>
      <c r="B62" s="236">
        <v>1120</v>
      </c>
      <c r="C62" s="41">
        <v>7408</v>
      </c>
      <c r="D62" s="41">
        <v>2370</v>
      </c>
      <c r="E62" s="241">
        <f t="shared" si="12"/>
        <v>111.61</v>
      </c>
      <c r="F62" s="230" t="s">
        <v>200</v>
      </c>
      <c r="G62" s="229"/>
      <c r="H62" s="229"/>
      <c r="I62" s="229"/>
      <c r="J62" s="246"/>
    </row>
    <row r="63" s="215" customFormat="1" ht="26.25" customHeight="1" spans="1:10">
      <c r="A63" s="230" t="s">
        <v>201</v>
      </c>
      <c r="B63" s="233">
        <v>85</v>
      </c>
      <c r="C63" s="233">
        <v>892</v>
      </c>
      <c r="D63" s="233">
        <v>66</v>
      </c>
      <c r="E63" s="241">
        <f t="shared" si="12"/>
        <v>-22.35</v>
      </c>
      <c r="F63" s="230" t="s">
        <v>201</v>
      </c>
      <c r="G63" s="229"/>
      <c r="H63" s="229"/>
      <c r="I63" s="229"/>
      <c r="J63" s="246"/>
    </row>
    <row r="64" s="215" customFormat="1" ht="26.25" customHeight="1" spans="1:10">
      <c r="A64" s="230" t="s">
        <v>202</v>
      </c>
      <c r="B64" s="229"/>
      <c r="C64" s="229">
        <v>189</v>
      </c>
      <c r="D64" s="229"/>
      <c r="E64" s="241"/>
      <c r="F64" s="230" t="s">
        <v>202</v>
      </c>
      <c r="G64" s="229"/>
      <c r="H64" s="229"/>
      <c r="I64" s="229"/>
      <c r="J64" s="246"/>
    </row>
    <row r="65" s="215" customFormat="1" ht="26.25" customHeight="1" spans="1:10">
      <c r="A65" s="230" t="s">
        <v>203</v>
      </c>
      <c r="B65" s="229"/>
      <c r="C65" s="229">
        <v>125</v>
      </c>
      <c r="D65" s="229"/>
      <c r="E65" s="241"/>
      <c r="F65" s="230" t="s">
        <v>203</v>
      </c>
      <c r="G65" s="229"/>
      <c r="H65" s="229"/>
      <c r="I65" s="229"/>
      <c r="J65" s="246"/>
    </row>
    <row r="66" s="215" customFormat="1" ht="26.25" customHeight="1" spans="1:10">
      <c r="A66" s="230" t="s">
        <v>204</v>
      </c>
      <c r="B66" s="229"/>
      <c r="C66" s="229">
        <v>296</v>
      </c>
      <c r="D66" s="229"/>
      <c r="E66" s="241"/>
      <c r="F66" s="230" t="s">
        <v>204</v>
      </c>
      <c r="G66" s="229"/>
      <c r="H66" s="229"/>
      <c r="I66" s="229"/>
      <c r="J66" s="246"/>
    </row>
    <row r="67" s="215" customFormat="1" ht="26.25" customHeight="1" spans="1:10">
      <c r="A67" s="230" t="s">
        <v>205</v>
      </c>
      <c r="B67" s="229">
        <v>5</v>
      </c>
      <c r="C67" s="229">
        <v>205</v>
      </c>
      <c r="D67" s="229">
        <v>108</v>
      </c>
      <c r="E67" s="241">
        <f>(D67-B67)/B67*100</f>
        <v>2060</v>
      </c>
      <c r="F67" s="230" t="s">
        <v>205</v>
      </c>
      <c r="G67" s="229"/>
      <c r="H67" s="229"/>
      <c r="I67" s="229"/>
      <c r="J67" s="246"/>
    </row>
    <row r="68" s="215" customFormat="1" ht="26.25" customHeight="1" spans="1:10">
      <c r="A68" s="230" t="s">
        <v>206</v>
      </c>
      <c r="B68" s="229"/>
      <c r="C68" s="229">
        <v>360</v>
      </c>
      <c r="D68" s="229"/>
      <c r="E68" s="241"/>
      <c r="F68" s="230" t="s">
        <v>206</v>
      </c>
      <c r="G68" s="229"/>
      <c r="H68" s="229"/>
      <c r="I68" s="229"/>
      <c r="J68" s="246"/>
    </row>
    <row r="69" s="215" customFormat="1" ht="26.25" customHeight="1" spans="1:10">
      <c r="A69" s="230" t="s">
        <v>207</v>
      </c>
      <c r="B69" s="229"/>
      <c r="C69" s="229"/>
      <c r="D69" s="229"/>
      <c r="E69" s="241"/>
      <c r="F69" s="230" t="s">
        <v>207</v>
      </c>
      <c r="G69" s="229"/>
      <c r="H69" s="229"/>
      <c r="I69" s="229"/>
      <c r="J69" s="246"/>
    </row>
    <row r="70" s="215" customFormat="1" ht="26.25" customHeight="1" spans="1:10">
      <c r="A70" s="247" t="s">
        <v>208</v>
      </c>
      <c r="B70" s="229">
        <v>60</v>
      </c>
      <c r="C70" s="229">
        <v>1440</v>
      </c>
      <c r="D70" s="229">
        <v>1539</v>
      </c>
      <c r="E70" s="241">
        <f>(D70-B70)/B70*100</f>
        <v>2465</v>
      </c>
      <c r="F70" s="652" t="s">
        <v>208</v>
      </c>
      <c r="G70" s="229"/>
      <c r="H70" s="229"/>
      <c r="I70" s="229"/>
      <c r="J70" s="246"/>
    </row>
    <row r="71" s="215" customFormat="1" ht="26.25" customHeight="1" spans="1:10">
      <c r="A71" s="230" t="s">
        <v>209</v>
      </c>
      <c r="B71" s="232"/>
      <c r="C71" s="229"/>
      <c r="D71" s="229"/>
      <c r="E71" s="241"/>
      <c r="F71" s="230" t="s">
        <v>210</v>
      </c>
      <c r="G71" s="229"/>
      <c r="H71" s="229"/>
      <c r="I71" s="229"/>
      <c r="J71" s="246"/>
    </row>
    <row r="72" s="215" customFormat="1" ht="26.25" customHeight="1" spans="1:10">
      <c r="A72" s="653" t="s">
        <v>211</v>
      </c>
      <c r="B72" s="225">
        <f t="shared" ref="B72:I72" si="13">SUM(B73:B74)</f>
        <v>0</v>
      </c>
      <c r="C72" s="225">
        <f t="shared" si="13"/>
        <v>0</v>
      </c>
      <c r="D72" s="225">
        <f t="shared" si="13"/>
        <v>0</v>
      </c>
      <c r="E72" s="241"/>
      <c r="F72" s="227" t="s">
        <v>212</v>
      </c>
      <c r="G72" s="225">
        <f t="shared" si="13"/>
        <v>4136</v>
      </c>
      <c r="H72" s="225">
        <f t="shared" si="13"/>
        <v>4113</v>
      </c>
      <c r="I72" s="225">
        <f t="shared" si="13"/>
        <v>4100</v>
      </c>
      <c r="J72" s="246">
        <f t="shared" ref="J72:J74" si="14">(I72-G72)/G72*100</f>
        <v>-0.87</v>
      </c>
    </row>
    <row r="73" s="215" customFormat="1" ht="26.25" customHeight="1" spans="1:10">
      <c r="A73" s="230" t="s">
        <v>213</v>
      </c>
      <c r="B73" s="229"/>
      <c r="C73" s="229"/>
      <c r="D73" s="229"/>
      <c r="E73" s="241"/>
      <c r="F73" s="249" t="s">
        <v>214</v>
      </c>
      <c r="G73" s="229">
        <v>73</v>
      </c>
      <c r="H73" s="229">
        <v>73</v>
      </c>
      <c r="I73" s="229">
        <v>73</v>
      </c>
      <c r="J73" s="246">
        <f t="shared" si="14"/>
        <v>0</v>
      </c>
    </row>
    <row r="74" s="215" customFormat="1" ht="26.25" customHeight="1" spans="1:10">
      <c r="A74" s="230" t="s">
        <v>215</v>
      </c>
      <c r="B74" s="229"/>
      <c r="C74" s="229"/>
      <c r="D74" s="229"/>
      <c r="E74" s="241"/>
      <c r="F74" s="249" t="s">
        <v>216</v>
      </c>
      <c r="G74" s="232">
        <v>4063</v>
      </c>
      <c r="H74" s="229">
        <v>4040</v>
      </c>
      <c r="I74" s="229">
        <v>4027</v>
      </c>
      <c r="J74" s="246">
        <f t="shared" si="14"/>
        <v>-0.89</v>
      </c>
    </row>
    <row r="75" s="215" customFormat="1" ht="26.25" customHeight="1" spans="1:10">
      <c r="A75" s="226" t="s">
        <v>217</v>
      </c>
      <c r="B75" s="225">
        <f t="shared" ref="B75:I75" si="15">SUM(B76:B77)</f>
        <v>102871</v>
      </c>
      <c r="C75" s="225">
        <f t="shared" si="15"/>
        <v>67857</v>
      </c>
      <c r="D75" s="225">
        <f t="shared" si="15"/>
        <v>28941</v>
      </c>
      <c r="E75" s="241">
        <f t="shared" ref="E75:E80" si="16">(D75-B75)/B75*100</f>
        <v>-71.87</v>
      </c>
      <c r="F75" s="227" t="s">
        <v>218</v>
      </c>
      <c r="G75" s="225">
        <f t="shared" si="15"/>
        <v>0</v>
      </c>
      <c r="H75" s="225">
        <f t="shared" si="15"/>
        <v>28941</v>
      </c>
      <c r="I75" s="225">
        <f t="shared" si="15"/>
        <v>0</v>
      </c>
      <c r="J75" s="246"/>
    </row>
    <row r="76" s="215" customFormat="1" ht="26.25" customHeight="1" spans="1:10">
      <c r="A76" s="228" t="s">
        <v>219</v>
      </c>
      <c r="B76" s="229">
        <v>102871</v>
      </c>
      <c r="C76" s="229">
        <v>67857</v>
      </c>
      <c r="D76" s="229">
        <v>28941</v>
      </c>
      <c r="E76" s="241">
        <f t="shared" si="16"/>
        <v>-71.87</v>
      </c>
      <c r="F76" s="249" t="s">
        <v>220</v>
      </c>
      <c r="G76" s="229"/>
      <c r="H76" s="229">
        <v>28941</v>
      </c>
      <c r="I76" s="229"/>
      <c r="J76" s="246"/>
    </row>
    <row r="77" s="215" customFormat="1" ht="26.25" customHeight="1" spans="1:10">
      <c r="A77" s="228" t="s">
        <v>221</v>
      </c>
      <c r="B77" s="229"/>
      <c r="C77" s="229"/>
      <c r="D77" s="229"/>
      <c r="E77" s="241"/>
      <c r="F77" s="249" t="s">
        <v>221</v>
      </c>
      <c r="G77" s="229"/>
      <c r="H77" s="229"/>
      <c r="I77" s="229"/>
      <c r="J77" s="246"/>
    </row>
    <row r="78" s="215" customFormat="1" ht="26.25" customHeight="1" spans="1:10">
      <c r="A78" s="653" t="s">
        <v>222</v>
      </c>
      <c r="B78" s="225">
        <f>B79</f>
        <v>11463</v>
      </c>
      <c r="C78" s="225">
        <f>C79</f>
        <v>200</v>
      </c>
      <c r="D78" s="225">
        <f>D79</f>
        <v>0</v>
      </c>
      <c r="E78" s="241">
        <f t="shared" si="16"/>
        <v>-100</v>
      </c>
      <c r="F78" s="243" t="s">
        <v>223</v>
      </c>
      <c r="G78" s="225"/>
      <c r="H78" s="225"/>
      <c r="I78" s="225"/>
      <c r="J78" s="246"/>
    </row>
    <row r="79" s="215" customFormat="1" ht="26.25" customHeight="1" spans="1:10">
      <c r="A79" s="653" t="s">
        <v>224</v>
      </c>
      <c r="B79" s="225">
        <f>SUM(B80:B82)</f>
        <v>11463</v>
      </c>
      <c r="C79" s="225">
        <f>SUM(C80:C82)</f>
        <v>200</v>
      </c>
      <c r="D79" s="225">
        <f>SUM(D80:D82)</f>
        <v>0</v>
      </c>
      <c r="E79" s="241">
        <f t="shared" si="16"/>
        <v>-100</v>
      </c>
      <c r="F79" s="248" t="s">
        <v>225</v>
      </c>
      <c r="G79" s="225"/>
      <c r="H79" s="225"/>
      <c r="I79" s="225"/>
      <c r="J79" s="246"/>
    </row>
    <row r="80" s="215" customFormat="1" ht="26.25" customHeight="1" spans="1:10">
      <c r="A80" s="230" t="s">
        <v>226</v>
      </c>
      <c r="B80" s="229">
        <v>11463</v>
      </c>
      <c r="C80" s="229"/>
      <c r="D80" s="229"/>
      <c r="E80" s="241">
        <f t="shared" si="16"/>
        <v>-100</v>
      </c>
      <c r="F80" s="653" t="s">
        <v>227</v>
      </c>
      <c r="G80" s="225"/>
      <c r="H80" s="225">
        <v>45393</v>
      </c>
      <c r="I80" s="225"/>
      <c r="J80" s="246"/>
    </row>
    <row r="81" s="215" customFormat="1" ht="26.25" customHeight="1" spans="1:10">
      <c r="A81" s="230" t="s">
        <v>228</v>
      </c>
      <c r="B81" s="229"/>
      <c r="C81" s="229"/>
      <c r="D81" s="229"/>
      <c r="E81" s="241"/>
      <c r="F81" s="243" t="s">
        <v>229</v>
      </c>
      <c r="G81" s="225">
        <f t="shared" ref="G81:I81" si="17">G82</f>
        <v>800</v>
      </c>
      <c r="H81" s="225">
        <f t="shared" si="17"/>
        <v>5000</v>
      </c>
      <c r="I81" s="225">
        <f t="shared" si="17"/>
        <v>3700</v>
      </c>
      <c r="J81" s="246">
        <f t="shared" ref="J81:J83" si="18">(I81-G81)/G81*100</f>
        <v>362.5</v>
      </c>
    </row>
    <row r="82" s="215" customFormat="1" ht="26.25" customHeight="1" spans="1:10">
      <c r="A82" s="230" t="s">
        <v>230</v>
      </c>
      <c r="B82" s="229"/>
      <c r="C82" s="229">
        <v>200</v>
      </c>
      <c r="D82" s="229"/>
      <c r="E82" s="241"/>
      <c r="F82" s="243" t="s">
        <v>231</v>
      </c>
      <c r="G82" s="225">
        <f t="shared" ref="G82:I82" si="19">SUM(G83:G86)</f>
        <v>800</v>
      </c>
      <c r="H82" s="225">
        <f t="shared" si="19"/>
        <v>5000</v>
      </c>
      <c r="I82" s="225">
        <f t="shared" si="19"/>
        <v>3700</v>
      </c>
      <c r="J82" s="246">
        <f t="shared" si="18"/>
        <v>362.5</v>
      </c>
    </row>
    <row r="83" s="215" customFormat="1" ht="26.25" customHeight="1" spans="1:10">
      <c r="A83" s="651" t="s">
        <v>232</v>
      </c>
      <c r="B83" s="225">
        <f>B84</f>
        <v>0</v>
      </c>
      <c r="C83" s="225">
        <f>C84</f>
        <v>5893</v>
      </c>
      <c r="D83" s="225">
        <f>D84</f>
        <v>0</v>
      </c>
      <c r="E83" s="241"/>
      <c r="F83" s="652" t="s">
        <v>233</v>
      </c>
      <c r="G83" s="232">
        <v>800</v>
      </c>
      <c r="H83" s="229">
        <v>5000</v>
      </c>
      <c r="I83" s="229">
        <v>3700</v>
      </c>
      <c r="J83" s="246">
        <f t="shared" si="18"/>
        <v>362.5</v>
      </c>
    </row>
    <row r="84" s="215" customFormat="1" ht="26.25" customHeight="1" spans="1:10">
      <c r="A84" s="651" t="s">
        <v>234</v>
      </c>
      <c r="B84" s="225">
        <f>SUM(B85:B88)</f>
        <v>0</v>
      </c>
      <c r="C84" s="225">
        <f t="shared" ref="C84:I84" si="20">SUM(C85:C88)</f>
        <v>5893</v>
      </c>
      <c r="D84" s="225">
        <f t="shared" si="20"/>
        <v>0</v>
      </c>
      <c r="E84" s="241"/>
      <c r="F84" s="249" t="s">
        <v>235</v>
      </c>
      <c r="G84" s="232"/>
      <c r="H84" s="229">
        <f t="shared" si="20"/>
        <v>0</v>
      </c>
      <c r="I84" s="229">
        <f t="shared" si="20"/>
        <v>0</v>
      </c>
      <c r="J84" s="246"/>
    </row>
    <row r="85" s="215" customFormat="1" ht="26.25" customHeight="1" spans="1:10">
      <c r="A85" s="249" t="s">
        <v>236</v>
      </c>
      <c r="B85" s="232"/>
      <c r="C85" s="229">
        <v>5893</v>
      </c>
      <c r="D85" s="229"/>
      <c r="E85" s="241"/>
      <c r="F85" s="249" t="s">
        <v>237</v>
      </c>
      <c r="G85" s="232"/>
      <c r="H85" s="229"/>
      <c r="I85" s="229"/>
      <c r="J85" s="246"/>
    </row>
    <row r="86" s="215" customFormat="1" ht="26.25" customHeight="1" spans="1:10">
      <c r="A86" s="654" t="s">
        <v>238</v>
      </c>
      <c r="B86" s="232"/>
      <c r="C86" s="229"/>
      <c r="D86" s="229"/>
      <c r="E86" s="241"/>
      <c r="F86" s="249" t="s">
        <v>239</v>
      </c>
      <c r="G86" s="232"/>
      <c r="H86" s="229"/>
      <c r="I86" s="229"/>
      <c r="J86" s="246"/>
    </row>
    <row r="87" s="215" customFormat="1" ht="26.25" customHeight="1" spans="1:10">
      <c r="A87" s="654" t="s">
        <v>240</v>
      </c>
      <c r="B87" s="232"/>
      <c r="C87" s="229"/>
      <c r="D87" s="229"/>
      <c r="E87" s="241"/>
      <c r="F87" s="249"/>
      <c r="G87" s="229"/>
      <c r="H87" s="229"/>
      <c r="I87" s="229"/>
      <c r="J87" s="246"/>
    </row>
    <row r="88" s="215" customFormat="1" ht="26.25" customHeight="1" spans="1:10">
      <c r="A88" s="654" t="s">
        <v>241</v>
      </c>
      <c r="B88" s="232"/>
      <c r="C88" s="229"/>
      <c r="D88" s="229"/>
      <c r="E88" s="241"/>
      <c r="F88" s="249"/>
      <c r="G88" s="229"/>
      <c r="H88" s="229"/>
      <c r="I88" s="229"/>
      <c r="J88" s="246"/>
    </row>
    <row r="89" s="214" customFormat="1" ht="26.25" customHeight="1" spans="1:10">
      <c r="A89" s="653" t="s">
        <v>242</v>
      </c>
      <c r="B89" s="225">
        <v>2151</v>
      </c>
      <c r="C89" s="225">
        <v>36401</v>
      </c>
      <c r="D89" s="225">
        <v>45393</v>
      </c>
      <c r="E89" s="241"/>
      <c r="F89" s="248"/>
      <c r="G89" s="225"/>
      <c r="H89" s="225"/>
      <c r="I89" s="225"/>
      <c r="J89" s="246"/>
    </row>
    <row r="90" s="214" customFormat="1" ht="26.25" customHeight="1" spans="1:10">
      <c r="A90" s="226" t="s">
        <v>243</v>
      </c>
      <c r="B90" s="225">
        <f>SUM(B91:B94)</f>
        <v>0</v>
      </c>
      <c r="C90" s="225">
        <f>SUM(C91:C94)</f>
        <v>0</v>
      </c>
      <c r="D90" s="225">
        <f>SUM(D91:D94)</f>
        <v>0</v>
      </c>
      <c r="E90" s="241"/>
      <c r="F90" s="227"/>
      <c r="G90" s="225"/>
      <c r="H90" s="225"/>
      <c r="I90" s="225"/>
      <c r="J90" s="246"/>
    </row>
    <row r="91" s="214" customFormat="1" ht="26.25" customHeight="1" spans="1:10">
      <c r="A91" s="228" t="s">
        <v>244</v>
      </c>
      <c r="B91" s="229"/>
      <c r="C91" s="229"/>
      <c r="D91" s="229"/>
      <c r="E91" s="241"/>
      <c r="F91" s="249"/>
      <c r="G91" s="229"/>
      <c r="H91" s="229"/>
      <c r="I91" s="229"/>
      <c r="J91" s="246"/>
    </row>
    <row r="92" s="214" customFormat="1" ht="26.25" customHeight="1" spans="1:10">
      <c r="A92" s="228" t="s">
        <v>245</v>
      </c>
      <c r="B92" s="229"/>
      <c r="C92" s="229"/>
      <c r="D92" s="229"/>
      <c r="E92" s="241"/>
      <c r="F92" s="249"/>
      <c r="G92" s="229"/>
      <c r="H92" s="229"/>
      <c r="I92" s="229"/>
      <c r="J92" s="246"/>
    </row>
    <row r="93" s="214" customFormat="1" ht="26.25" customHeight="1" spans="1:10">
      <c r="A93" s="228" t="s">
        <v>246</v>
      </c>
      <c r="B93" s="229"/>
      <c r="C93" s="229"/>
      <c r="D93" s="229"/>
      <c r="E93" s="241"/>
      <c r="F93" s="249"/>
      <c r="G93" s="229"/>
      <c r="H93" s="229"/>
      <c r="I93" s="229"/>
      <c r="J93" s="246"/>
    </row>
    <row r="94" s="214" customFormat="1" ht="26.25" customHeight="1" spans="1:10">
      <c r="A94" s="228" t="s">
        <v>247</v>
      </c>
      <c r="B94" s="229"/>
      <c r="C94" s="229"/>
      <c r="D94" s="229"/>
      <c r="E94" s="241"/>
      <c r="F94" s="249"/>
      <c r="G94" s="229"/>
      <c r="H94" s="229"/>
      <c r="I94" s="229"/>
      <c r="J94" s="246"/>
    </row>
    <row r="95" s="214" customFormat="1" ht="26.25" customHeight="1" spans="1:12">
      <c r="A95" s="223" t="s">
        <v>1256</v>
      </c>
      <c r="B95" s="229">
        <f>SUM(B5+B6)</f>
        <v>370616</v>
      </c>
      <c r="C95" s="229">
        <f>SUM(C5+C6)</f>
        <v>420800</v>
      </c>
      <c r="D95" s="229">
        <f>SUM(D5+D6)</f>
        <v>350606</v>
      </c>
      <c r="E95" s="241">
        <f>(D95-B95)/B95*100</f>
        <v>-5.4</v>
      </c>
      <c r="F95" s="250" t="s">
        <v>249</v>
      </c>
      <c r="G95" s="251">
        <f t="shared" ref="G95:I95" si="21">G5+G6+G81</f>
        <v>370616</v>
      </c>
      <c r="H95" s="251">
        <f t="shared" si="21"/>
        <v>420800</v>
      </c>
      <c r="I95" s="251">
        <f t="shared" si="21"/>
        <v>350606</v>
      </c>
      <c r="J95" s="246">
        <f>(I95-G95)/G95*100</f>
        <v>-5.4</v>
      </c>
      <c r="L95" s="252">
        <f>I95-D95</f>
        <v>0</v>
      </c>
    </row>
  </sheetData>
  <mergeCells count="4">
    <mergeCell ref="A1:J1"/>
    <mergeCell ref="G2:J2"/>
    <mergeCell ref="A3:C3"/>
    <mergeCell ref="F3:H3"/>
  </mergeCells>
  <printOptions horizontalCentered="1" verticalCentered="1"/>
  <pageMargins left="0.708661417322835" right="0.708661417322835" top="0.551181102362205" bottom="0.551181102362205" header="0.31496062992126" footer="0.31496062992126"/>
  <pageSetup paperSize="9" scale="70" fitToHeight="2" orientation="landscape" blackAndWhite="1"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workbookViewId="0">
      <selection activeCell="F7" sqref="F7"/>
    </sheetView>
  </sheetViews>
  <sheetFormatPr defaultColWidth="9" defaultRowHeight="12.75"/>
  <cols>
    <col min="1" max="1" width="35.3416666666667" style="213" customWidth="1"/>
    <col min="2" max="3" width="11.025" style="213" customWidth="1"/>
    <col min="4" max="5" width="10.625" style="213" customWidth="1"/>
    <col min="6" max="6" width="32.625" style="213" customWidth="1"/>
    <col min="7" max="7" width="10.75" style="213" customWidth="1"/>
    <col min="8" max="10" width="10.375" style="213" customWidth="1"/>
    <col min="11" max="11" width="9" style="213"/>
    <col min="12" max="12" width="8.875" style="213" customWidth="1"/>
    <col min="13" max="16384" width="9" style="213"/>
  </cols>
  <sheetData>
    <row r="1" s="213" customFormat="1" ht="24.75" customHeight="1" spans="1:10">
      <c r="A1" s="696" t="s">
        <v>25</v>
      </c>
      <c r="B1" s="216"/>
      <c r="C1" s="216"/>
      <c r="D1" s="216"/>
      <c r="E1" s="216"/>
      <c r="F1" s="216"/>
      <c r="G1" s="216"/>
      <c r="H1" s="216"/>
      <c r="I1" s="216"/>
      <c r="J1" s="216"/>
    </row>
    <row r="2" s="213" customFormat="1" ht="17.25" customHeight="1" spans="1:10">
      <c r="A2" s="217"/>
      <c r="B2" s="218"/>
      <c r="C2" s="218"/>
      <c r="D2" s="218"/>
      <c r="E2" s="218"/>
      <c r="F2" s="218"/>
      <c r="G2" s="237" t="s">
        <v>4533</v>
      </c>
      <c r="H2" s="237"/>
      <c r="I2" s="237"/>
      <c r="J2" s="237"/>
    </row>
    <row r="3" s="214" customFormat="1" ht="18" customHeight="1" spans="1:10">
      <c r="A3" s="219" t="s">
        <v>86</v>
      </c>
      <c r="B3" s="220"/>
      <c r="C3" s="220"/>
      <c r="D3" s="221"/>
      <c r="E3" s="221"/>
      <c r="F3" s="238" t="s">
        <v>88</v>
      </c>
      <c r="G3" s="239"/>
      <c r="H3" s="239"/>
      <c r="I3" s="220"/>
      <c r="J3" s="245"/>
    </row>
    <row r="4" s="214" customFormat="1" ht="30" customHeight="1" spans="1:10">
      <c r="A4" s="222" t="s">
        <v>89</v>
      </c>
      <c r="B4" s="223" t="s">
        <v>4643</v>
      </c>
      <c r="C4" s="697" t="s">
        <v>4644</v>
      </c>
      <c r="D4" s="223" t="s">
        <v>4645</v>
      </c>
      <c r="E4" s="240" t="s">
        <v>4646</v>
      </c>
      <c r="F4" s="222" t="s">
        <v>89</v>
      </c>
      <c r="G4" s="223" t="s">
        <v>4643</v>
      </c>
      <c r="H4" s="697" t="s">
        <v>4644</v>
      </c>
      <c r="I4" s="223" t="s">
        <v>4645</v>
      </c>
      <c r="J4" s="240" t="s">
        <v>4646</v>
      </c>
    </row>
    <row r="5" s="215" customFormat="1" ht="26.25" customHeight="1" spans="1:10">
      <c r="A5" s="224" t="s">
        <v>97</v>
      </c>
      <c r="B5" s="225">
        <v>22098</v>
      </c>
      <c r="C5" s="225">
        <v>21124</v>
      </c>
      <c r="D5" s="225">
        <v>21758</v>
      </c>
      <c r="E5" s="241">
        <f t="shared" ref="E5:E18" si="0">(D5-B5)/B5*100</f>
        <v>-1.54</v>
      </c>
      <c r="F5" s="224" t="s">
        <v>98</v>
      </c>
      <c r="G5" s="242">
        <v>365680</v>
      </c>
      <c r="H5" s="242">
        <v>337353</v>
      </c>
      <c r="I5" s="242">
        <f>342965-159</f>
        <v>342806</v>
      </c>
      <c r="J5" s="246">
        <f>(I5-G5)/G5*100</f>
        <v>-6.26</v>
      </c>
    </row>
    <row r="6" s="215" customFormat="1" ht="26.25" customHeight="1" spans="1:10">
      <c r="A6" s="226" t="s">
        <v>99</v>
      </c>
      <c r="B6" s="225">
        <f>SUM(B7,B72,B75,B78,B83,B89,B90)</f>
        <v>348518</v>
      </c>
      <c r="C6" s="225">
        <f>SUM(C7,C72,C75,C78,C83,C89,C90)</f>
        <v>399676</v>
      </c>
      <c r="D6" s="225">
        <f>SUM(D7,D72,D75,D78,D83,D89,D90)</f>
        <v>328848</v>
      </c>
      <c r="E6" s="241">
        <f t="shared" si="0"/>
        <v>-5.64</v>
      </c>
      <c r="F6" s="226" t="s">
        <v>100</v>
      </c>
      <c r="G6" s="242">
        <f t="shared" ref="G6:I6" si="1">G7+G14+G50+G72+G75+G78+G79+G80</f>
        <v>4136</v>
      </c>
      <c r="H6" s="242">
        <f t="shared" si="1"/>
        <v>78447</v>
      </c>
      <c r="I6" s="242">
        <f t="shared" si="1"/>
        <v>4100</v>
      </c>
      <c r="J6" s="246">
        <f>(I6-G6)/G6*100</f>
        <v>-0.87</v>
      </c>
    </row>
    <row r="7" s="215" customFormat="1" ht="26.25" customHeight="1" spans="1:10">
      <c r="A7" s="227" t="s">
        <v>101</v>
      </c>
      <c r="B7" s="225">
        <f>SUM(B8+B14+B50)</f>
        <v>232033</v>
      </c>
      <c r="C7" s="225">
        <f>SUM(C8+C14+C50)</f>
        <v>289325</v>
      </c>
      <c r="D7" s="225">
        <f>SUM(D8+D14+D50)</f>
        <v>254514</v>
      </c>
      <c r="E7" s="241">
        <f t="shared" si="0"/>
        <v>9.69</v>
      </c>
      <c r="F7" s="243" t="s">
        <v>102</v>
      </c>
      <c r="G7" s="225">
        <f t="shared" ref="G7:I7" si="2">SUM(G8:G13)</f>
        <v>0</v>
      </c>
      <c r="H7" s="225">
        <f t="shared" si="2"/>
        <v>0</v>
      </c>
      <c r="I7" s="225">
        <f t="shared" si="2"/>
        <v>0</v>
      </c>
      <c r="J7" s="246"/>
    </row>
    <row r="8" s="215" customFormat="1" ht="26.25" customHeight="1" spans="1:10">
      <c r="A8" s="227" t="s">
        <v>103</v>
      </c>
      <c r="B8" s="225">
        <f>SUM(B9:B13)</f>
        <v>3844</v>
      </c>
      <c r="C8" s="225">
        <f>SUM(C9:C13)</f>
        <v>3844</v>
      </c>
      <c r="D8" s="225">
        <f>SUM(D9:D13)</f>
        <v>3844</v>
      </c>
      <c r="E8" s="241">
        <f t="shared" si="0"/>
        <v>0</v>
      </c>
      <c r="F8" s="230" t="s">
        <v>104</v>
      </c>
      <c r="G8" s="229"/>
      <c r="H8" s="229"/>
      <c r="I8" s="229"/>
      <c r="J8" s="246"/>
    </row>
    <row r="9" s="215" customFormat="1" ht="26.25" customHeight="1" spans="1:10">
      <c r="A9" s="228" t="s">
        <v>105</v>
      </c>
      <c r="B9" s="229">
        <v>404</v>
      </c>
      <c r="C9" s="229">
        <v>404</v>
      </c>
      <c r="D9" s="229">
        <v>404</v>
      </c>
      <c r="E9" s="241">
        <f t="shared" si="0"/>
        <v>0</v>
      </c>
      <c r="F9" s="230" t="s">
        <v>106</v>
      </c>
      <c r="G9" s="229"/>
      <c r="H9" s="229"/>
      <c r="I9" s="229"/>
      <c r="J9" s="246"/>
    </row>
    <row r="10" s="215" customFormat="1" ht="26.25" customHeight="1" spans="1:10">
      <c r="A10" s="228" t="s">
        <v>107</v>
      </c>
      <c r="B10" s="229">
        <v>197</v>
      </c>
      <c r="C10" s="229">
        <v>197</v>
      </c>
      <c r="D10" s="229">
        <v>197</v>
      </c>
      <c r="E10" s="241">
        <f t="shared" si="0"/>
        <v>0</v>
      </c>
      <c r="F10" s="230" t="s">
        <v>108</v>
      </c>
      <c r="G10" s="229"/>
      <c r="H10" s="229"/>
      <c r="I10" s="229"/>
      <c r="J10" s="246"/>
    </row>
    <row r="11" s="215" customFormat="1" ht="26.25" customHeight="1" spans="1:10">
      <c r="A11" s="228" t="s">
        <v>109</v>
      </c>
      <c r="B11" s="229">
        <v>657</v>
      </c>
      <c r="C11" s="229">
        <v>657</v>
      </c>
      <c r="D11" s="229">
        <v>657</v>
      </c>
      <c r="E11" s="241">
        <f t="shared" si="0"/>
        <v>0</v>
      </c>
      <c r="F11" s="230" t="s">
        <v>110</v>
      </c>
      <c r="G11" s="229"/>
      <c r="H11" s="229"/>
      <c r="I11" s="229"/>
      <c r="J11" s="246"/>
    </row>
    <row r="12" s="215" customFormat="1" ht="26.25" customHeight="1" spans="1:10">
      <c r="A12" s="228" t="s">
        <v>111</v>
      </c>
      <c r="B12" s="229">
        <f>2235-256</f>
        <v>1979</v>
      </c>
      <c r="C12" s="229">
        <f>2235-256</f>
        <v>1979</v>
      </c>
      <c r="D12" s="229">
        <f>2235-256</f>
        <v>1979</v>
      </c>
      <c r="E12" s="241">
        <f t="shared" si="0"/>
        <v>0</v>
      </c>
      <c r="F12" s="230" t="s">
        <v>112</v>
      </c>
      <c r="G12" s="229"/>
      <c r="H12" s="229"/>
      <c r="I12" s="229"/>
      <c r="J12" s="246"/>
    </row>
    <row r="13" s="215" customFormat="1" ht="26.25" customHeight="1" spans="1:10">
      <c r="A13" s="228" t="s">
        <v>113</v>
      </c>
      <c r="B13" s="229">
        <v>607</v>
      </c>
      <c r="C13" s="229">
        <v>607</v>
      </c>
      <c r="D13" s="229">
        <v>607</v>
      </c>
      <c r="E13" s="241">
        <f t="shared" si="0"/>
        <v>0</v>
      </c>
      <c r="F13" s="230" t="s">
        <v>114</v>
      </c>
      <c r="G13" s="229"/>
      <c r="H13" s="229"/>
      <c r="I13" s="229"/>
      <c r="J13" s="246"/>
    </row>
    <row r="14" s="215" customFormat="1" ht="26.25" customHeight="1" spans="1:10">
      <c r="A14" s="651" t="s">
        <v>115</v>
      </c>
      <c r="B14" s="225">
        <f t="shared" ref="B14:I14" si="3">SUM(B15:B49)</f>
        <v>226816</v>
      </c>
      <c r="C14" s="225">
        <f t="shared" si="3"/>
        <v>273240</v>
      </c>
      <c r="D14" s="225">
        <f t="shared" si="3"/>
        <v>246399</v>
      </c>
      <c r="E14" s="241">
        <f t="shared" si="0"/>
        <v>8.63</v>
      </c>
      <c r="F14" s="243" t="s">
        <v>116</v>
      </c>
      <c r="G14" s="244">
        <f t="shared" si="3"/>
        <v>0</v>
      </c>
      <c r="H14" s="244">
        <f t="shared" si="3"/>
        <v>0</v>
      </c>
      <c r="I14" s="244">
        <f t="shared" si="3"/>
        <v>0</v>
      </c>
      <c r="J14" s="246"/>
    </row>
    <row r="15" s="215" customFormat="1" ht="26.25" customHeight="1" spans="1:10">
      <c r="A15" s="230" t="s">
        <v>117</v>
      </c>
      <c r="B15" s="229">
        <v>1764</v>
      </c>
      <c r="C15" s="229">
        <v>1764</v>
      </c>
      <c r="D15" s="229">
        <v>1764</v>
      </c>
      <c r="E15" s="241">
        <f t="shared" si="0"/>
        <v>0</v>
      </c>
      <c r="F15" s="230" t="s">
        <v>118</v>
      </c>
      <c r="G15" s="225">
        <f t="shared" ref="G15:I15" si="4">SUM(G16:G29)</f>
        <v>0</v>
      </c>
      <c r="H15" s="225">
        <f t="shared" si="4"/>
        <v>0</v>
      </c>
      <c r="I15" s="225">
        <f t="shared" si="4"/>
        <v>0</v>
      </c>
      <c r="J15" s="246"/>
    </row>
    <row r="16" s="215" customFormat="1" ht="26.25" customHeight="1" spans="1:10">
      <c r="A16" s="230" t="s">
        <v>119</v>
      </c>
      <c r="B16" s="229">
        <f>53272+10509</f>
        <v>63781</v>
      </c>
      <c r="C16" s="229">
        <v>70632</v>
      </c>
      <c r="D16" s="231">
        <f>61369+9263</f>
        <v>70632</v>
      </c>
      <c r="E16" s="241">
        <f t="shared" si="0"/>
        <v>10.74</v>
      </c>
      <c r="F16" s="230" t="s">
        <v>120</v>
      </c>
      <c r="G16" s="229"/>
      <c r="H16" s="229"/>
      <c r="I16" s="229"/>
      <c r="J16" s="246"/>
    </row>
    <row r="17" s="215" customFormat="1" ht="26.25" customHeight="1" spans="1:10">
      <c r="A17" s="230" t="s">
        <v>121</v>
      </c>
      <c r="B17" s="229">
        <f>16014+896</f>
        <v>16910</v>
      </c>
      <c r="C17" s="229">
        <v>19710</v>
      </c>
      <c r="D17" s="231">
        <f>16020+3690</f>
        <v>19710</v>
      </c>
      <c r="E17" s="241">
        <f t="shared" si="0"/>
        <v>16.56</v>
      </c>
      <c r="F17" s="230" t="s">
        <v>122</v>
      </c>
      <c r="G17" s="229"/>
      <c r="H17" s="229"/>
      <c r="I17" s="229"/>
      <c r="J17" s="246"/>
    </row>
    <row r="18" s="215" customFormat="1" ht="26.25" customHeight="1" spans="1:10">
      <c r="A18" s="230" t="s">
        <v>123</v>
      </c>
      <c r="B18" s="229">
        <f>376+339</f>
        <v>715</v>
      </c>
      <c r="C18" s="229">
        <v>3487</v>
      </c>
      <c r="D18" s="229">
        <v>6060</v>
      </c>
      <c r="E18" s="241">
        <f t="shared" si="0"/>
        <v>747.55</v>
      </c>
      <c r="F18" s="230" t="s">
        <v>124</v>
      </c>
      <c r="G18" s="229"/>
      <c r="H18" s="229"/>
      <c r="I18" s="229"/>
      <c r="J18" s="246"/>
    </row>
    <row r="19" s="215" customFormat="1" ht="26.25" customHeight="1" spans="1:10">
      <c r="A19" s="230" t="s">
        <v>125</v>
      </c>
      <c r="B19" s="232"/>
      <c r="C19" s="229"/>
      <c r="D19" s="229"/>
      <c r="E19" s="241"/>
      <c r="F19" s="230" t="s">
        <v>126</v>
      </c>
      <c r="G19" s="229"/>
      <c r="H19" s="229"/>
      <c r="I19" s="229"/>
      <c r="J19" s="246"/>
    </row>
    <row r="20" s="215" customFormat="1" ht="26.25" customHeight="1" spans="1:10">
      <c r="A20" s="230" t="s">
        <v>127</v>
      </c>
      <c r="B20" s="232"/>
      <c r="C20" s="229"/>
      <c r="D20" s="229"/>
      <c r="E20" s="241"/>
      <c r="F20" s="230" t="s">
        <v>128</v>
      </c>
      <c r="G20" s="225">
        <f t="shared" ref="G20:I20" si="5">SUM(G21:G39)</f>
        <v>0</v>
      </c>
      <c r="H20" s="225">
        <f t="shared" si="5"/>
        <v>0</v>
      </c>
      <c r="I20" s="225">
        <f t="shared" si="5"/>
        <v>0</v>
      </c>
      <c r="J20" s="246"/>
    </row>
    <row r="21" s="215" customFormat="1" ht="26.25" customHeight="1" spans="1:10">
      <c r="A21" s="230" t="s">
        <v>129</v>
      </c>
      <c r="B21" s="229">
        <v>794</v>
      </c>
      <c r="C21" s="229">
        <v>899</v>
      </c>
      <c r="D21" s="229">
        <v>809</v>
      </c>
      <c r="E21" s="241">
        <f t="shared" ref="E21:E25" si="6">(D21-B21)/B21*100</f>
        <v>1.89</v>
      </c>
      <c r="F21" s="230" t="s">
        <v>130</v>
      </c>
      <c r="G21" s="229"/>
      <c r="H21" s="229"/>
      <c r="I21" s="229"/>
      <c r="J21" s="246"/>
    </row>
    <row r="22" s="215" customFormat="1" ht="26.25" customHeight="1" spans="1:10">
      <c r="A22" s="230" t="s">
        <v>131</v>
      </c>
      <c r="B22" s="233">
        <f>8135+4000</f>
        <v>12135</v>
      </c>
      <c r="C22" s="233">
        <v>10256</v>
      </c>
      <c r="D22" s="234">
        <f>9230+1026</f>
        <v>10256</v>
      </c>
      <c r="E22" s="241">
        <f t="shared" si="6"/>
        <v>-15.48</v>
      </c>
      <c r="F22" s="230" t="s">
        <v>132</v>
      </c>
      <c r="G22" s="229"/>
      <c r="H22" s="229"/>
      <c r="I22" s="229"/>
      <c r="J22" s="246"/>
    </row>
    <row r="23" s="215" customFormat="1" ht="26.25" customHeight="1" spans="1:10">
      <c r="A23" s="230" t="s">
        <v>133</v>
      </c>
      <c r="B23" s="233">
        <f>13134</f>
        <v>13134</v>
      </c>
      <c r="C23" s="233">
        <v>13572</v>
      </c>
      <c r="D23" s="233">
        <v>13134</v>
      </c>
      <c r="E23" s="241">
        <f t="shared" si="6"/>
        <v>0</v>
      </c>
      <c r="F23" s="230" t="s">
        <v>134</v>
      </c>
      <c r="G23" s="229"/>
      <c r="H23" s="229"/>
      <c r="I23" s="229"/>
      <c r="J23" s="246"/>
    </row>
    <row r="24" s="215" customFormat="1" ht="26.25" customHeight="1" spans="1:10">
      <c r="A24" s="230" t="s">
        <v>135</v>
      </c>
      <c r="B24" s="233">
        <v>903</v>
      </c>
      <c r="C24" s="233">
        <v>1103</v>
      </c>
      <c r="D24" s="233">
        <v>911</v>
      </c>
      <c r="E24" s="241">
        <f t="shared" si="6"/>
        <v>0.89</v>
      </c>
      <c r="F24" s="230" t="s">
        <v>136</v>
      </c>
      <c r="G24" s="229"/>
      <c r="H24" s="229"/>
      <c r="I24" s="229"/>
      <c r="J24" s="246"/>
    </row>
    <row r="25" s="215" customFormat="1" ht="26.25" customHeight="1" spans="1:10">
      <c r="A25" s="230" t="s">
        <v>137</v>
      </c>
      <c r="B25" s="233">
        <f>11487+10769</f>
        <v>22256</v>
      </c>
      <c r="C25" s="233">
        <v>12992</v>
      </c>
      <c r="D25" s="234">
        <f>11487+1505</f>
        <v>12992</v>
      </c>
      <c r="E25" s="241">
        <f t="shared" si="6"/>
        <v>-41.62</v>
      </c>
      <c r="F25" s="230" t="s">
        <v>138</v>
      </c>
      <c r="G25" s="229"/>
      <c r="H25" s="229"/>
      <c r="I25" s="229"/>
      <c r="J25" s="246"/>
    </row>
    <row r="26" s="215" customFormat="1" ht="26.25" customHeight="1" spans="1:10">
      <c r="A26" s="230" t="s">
        <v>139</v>
      </c>
      <c r="B26" s="229"/>
      <c r="C26" s="229"/>
      <c r="D26" s="229"/>
      <c r="E26" s="241"/>
      <c r="F26" s="230" t="s">
        <v>140</v>
      </c>
      <c r="G26" s="229"/>
      <c r="H26" s="229"/>
      <c r="I26" s="229"/>
      <c r="J26" s="246"/>
    </row>
    <row r="27" s="215" customFormat="1" ht="26.25" customHeight="1" spans="1:10">
      <c r="A27" s="230" t="s">
        <v>141</v>
      </c>
      <c r="B27" s="229">
        <v>34839</v>
      </c>
      <c r="C27" s="229">
        <v>52439</v>
      </c>
      <c r="D27" s="229">
        <v>26170</v>
      </c>
      <c r="E27" s="241">
        <f t="shared" ref="E27:E32" si="7">(D27-B27)/B27*100</f>
        <v>-24.88</v>
      </c>
      <c r="F27" s="230" t="s">
        <v>142</v>
      </c>
      <c r="G27" s="229"/>
      <c r="H27" s="229"/>
      <c r="I27" s="229"/>
      <c r="J27" s="246"/>
    </row>
    <row r="28" s="215" customFormat="1" ht="26.25" customHeight="1" spans="1:10">
      <c r="A28" s="230" t="s">
        <v>143</v>
      </c>
      <c r="B28" s="232"/>
      <c r="C28" s="229"/>
      <c r="D28" s="229"/>
      <c r="E28" s="241"/>
      <c r="F28" s="230" t="s">
        <v>144</v>
      </c>
      <c r="G28" s="229"/>
      <c r="H28" s="229"/>
      <c r="I28" s="229"/>
      <c r="J28" s="246"/>
    </row>
    <row r="29" s="215" customFormat="1" ht="26.25" customHeight="1" spans="1:10">
      <c r="A29" s="230" t="s">
        <v>145</v>
      </c>
      <c r="B29" s="232"/>
      <c r="C29" s="229"/>
      <c r="D29" s="229"/>
      <c r="E29" s="241"/>
      <c r="F29" s="230" t="s">
        <v>146</v>
      </c>
      <c r="G29" s="229"/>
      <c r="H29" s="229"/>
      <c r="I29" s="229"/>
      <c r="J29" s="246"/>
    </row>
    <row r="30" s="215" customFormat="1" ht="26.25" customHeight="1" spans="1:10">
      <c r="A30" s="230" t="s">
        <v>147</v>
      </c>
      <c r="B30" s="232"/>
      <c r="C30" s="229"/>
      <c r="D30" s="229"/>
      <c r="E30" s="241"/>
      <c r="F30" s="230" t="s">
        <v>148</v>
      </c>
      <c r="G30" s="225">
        <f t="shared" ref="G30:I30" si="8">SUM(G31:G49)</f>
        <v>0</v>
      </c>
      <c r="H30" s="225">
        <f t="shared" si="8"/>
        <v>0</v>
      </c>
      <c r="I30" s="225">
        <f t="shared" si="8"/>
        <v>0</v>
      </c>
      <c r="J30" s="246"/>
    </row>
    <row r="31" s="215" customFormat="1" ht="26.25" customHeight="1" spans="1:10">
      <c r="A31" s="230" t="s">
        <v>149</v>
      </c>
      <c r="B31" s="229">
        <v>8</v>
      </c>
      <c r="C31" s="229">
        <v>1568</v>
      </c>
      <c r="D31" s="229">
        <v>1230</v>
      </c>
      <c r="E31" s="241">
        <f t="shared" si="7"/>
        <v>15275</v>
      </c>
      <c r="F31" s="230" t="s">
        <v>150</v>
      </c>
      <c r="G31" s="229"/>
      <c r="H31" s="229"/>
      <c r="I31" s="229"/>
      <c r="J31" s="246"/>
    </row>
    <row r="32" s="215" customFormat="1" ht="26.25" customHeight="1" spans="1:10">
      <c r="A32" s="230" t="s">
        <v>151</v>
      </c>
      <c r="B32" s="229">
        <f>3241+10000</f>
        <v>13241</v>
      </c>
      <c r="C32" s="233">
        <v>21445</v>
      </c>
      <c r="D32" s="233">
        <v>19543</v>
      </c>
      <c r="E32" s="241">
        <f t="shared" si="7"/>
        <v>47.59</v>
      </c>
      <c r="F32" s="230" t="s">
        <v>152</v>
      </c>
      <c r="G32" s="229"/>
      <c r="H32" s="229"/>
      <c r="I32" s="229"/>
      <c r="J32" s="246"/>
    </row>
    <row r="33" s="215" customFormat="1" ht="26.25" customHeight="1" spans="1:10">
      <c r="A33" s="230" t="s">
        <v>153</v>
      </c>
      <c r="B33" s="232"/>
      <c r="C33" s="233"/>
      <c r="D33" s="233"/>
      <c r="E33" s="241"/>
      <c r="F33" s="230" t="s">
        <v>154</v>
      </c>
      <c r="G33" s="229"/>
      <c r="H33" s="229"/>
      <c r="I33" s="229"/>
      <c r="J33" s="246"/>
    </row>
    <row r="34" s="215" customFormat="1" ht="26.25" customHeight="1" spans="1:10">
      <c r="A34" s="230" t="s">
        <v>155</v>
      </c>
      <c r="B34" s="232"/>
      <c r="C34" s="233">
        <v>948</v>
      </c>
      <c r="D34" s="233">
        <v>670</v>
      </c>
      <c r="E34" s="241"/>
      <c r="F34" s="230" t="s">
        <v>156</v>
      </c>
      <c r="G34" s="229"/>
      <c r="H34" s="229"/>
      <c r="I34" s="229"/>
      <c r="J34" s="246"/>
    </row>
    <row r="35" s="215" customFormat="1" ht="26.25" customHeight="1" spans="1:10">
      <c r="A35" s="230" t="s">
        <v>157</v>
      </c>
      <c r="B35" s="229">
        <f>22164+3000</f>
        <v>25164</v>
      </c>
      <c r="C35" s="233">
        <v>31846</v>
      </c>
      <c r="D35" s="233">
        <v>31498</v>
      </c>
      <c r="E35" s="241">
        <f t="shared" ref="E35:E37" si="9">(D35-B35)/B35*100</f>
        <v>25.17</v>
      </c>
      <c r="F35" s="230" t="s">
        <v>158</v>
      </c>
      <c r="G35" s="229"/>
      <c r="H35" s="229"/>
      <c r="I35" s="229"/>
      <c r="J35" s="246"/>
    </row>
    <row r="36" s="215" customFormat="1" ht="26.25" customHeight="1" spans="1:10">
      <c r="A36" s="230" t="s">
        <v>4647</v>
      </c>
      <c r="B36" s="229">
        <f>4756+1000</f>
        <v>5756</v>
      </c>
      <c r="C36" s="229">
        <v>11525</v>
      </c>
      <c r="D36" s="229">
        <v>9657</v>
      </c>
      <c r="E36" s="241">
        <f t="shared" si="9"/>
        <v>67.77</v>
      </c>
      <c r="F36" s="230" t="s">
        <v>4648</v>
      </c>
      <c r="G36" s="229"/>
      <c r="H36" s="229"/>
      <c r="I36" s="229"/>
      <c r="J36" s="246"/>
    </row>
    <row r="37" s="215" customFormat="1" ht="26.25" customHeight="1" spans="1:10">
      <c r="A37" s="230" t="s">
        <v>161</v>
      </c>
      <c r="B37" s="229">
        <v>1660</v>
      </c>
      <c r="C37" s="229">
        <v>3212</v>
      </c>
      <c r="D37" s="229">
        <v>1931</v>
      </c>
      <c r="E37" s="241">
        <f t="shared" si="9"/>
        <v>16.33</v>
      </c>
      <c r="F37" s="230" t="s">
        <v>162</v>
      </c>
      <c r="G37" s="229"/>
      <c r="H37" s="229"/>
      <c r="I37" s="229"/>
      <c r="J37" s="246"/>
    </row>
    <row r="38" s="215" customFormat="1" ht="26.25" customHeight="1" spans="1:10">
      <c r="A38" s="230" t="s">
        <v>163</v>
      </c>
      <c r="B38" s="229"/>
      <c r="C38" s="229"/>
      <c r="D38" s="229"/>
      <c r="E38" s="241"/>
      <c r="F38" s="230" t="s">
        <v>164</v>
      </c>
      <c r="G38" s="229"/>
      <c r="H38" s="229"/>
      <c r="I38" s="229"/>
      <c r="J38" s="246"/>
    </row>
    <row r="39" s="215" customFormat="1" ht="26.25" customHeight="1" spans="1:10">
      <c r="A39" s="230" t="s">
        <v>165</v>
      </c>
      <c r="B39" s="229">
        <f>5122+7121</f>
        <v>12243</v>
      </c>
      <c r="C39" s="229">
        <v>11246</v>
      </c>
      <c r="D39" s="229">
        <f>3580</f>
        <v>3580</v>
      </c>
      <c r="E39" s="241">
        <f>(D39-B39)/B39*100</f>
        <v>-70.76</v>
      </c>
      <c r="F39" s="230" t="s">
        <v>166</v>
      </c>
      <c r="G39" s="229"/>
      <c r="H39" s="229"/>
      <c r="I39" s="229"/>
      <c r="J39" s="246"/>
    </row>
    <row r="40" s="215" customFormat="1" ht="26.25" customHeight="1" spans="1:10">
      <c r="A40" s="230" t="s">
        <v>167</v>
      </c>
      <c r="B40" s="229">
        <v>791</v>
      </c>
      <c r="C40" s="229">
        <v>1719</v>
      </c>
      <c r="D40" s="229">
        <v>223</v>
      </c>
      <c r="E40" s="241">
        <f>(D40-B40)/B40*100</f>
        <v>-71.81</v>
      </c>
      <c r="F40" s="230" t="s">
        <v>168</v>
      </c>
      <c r="G40" s="229"/>
      <c r="H40" s="229"/>
      <c r="I40" s="229"/>
      <c r="J40" s="246"/>
    </row>
    <row r="41" s="215" customFormat="1" ht="26.25" customHeight="1" spans="1:10">
      <c r="A41" s="230" t="s">
        <v>169</v>
      </c>
      <c r="B41" s="232"/>
      <c r="C41" s="229"/>
      <c r="D41" s="229"/>
      <c r="E41" s="241"/>
      <c r="F41" s="230" t="s">
        <v>170</v>
      </c>
      <c r="G41" s="229"/>
      <c r="H41" s="229"/>
      <c r="I41" s="229"/>
      <c r="J41" s="246"/>
    </row>
    <row r="42" s="215" customFormat="1" ht="26.25" customHeight="1" spans="1:10">
      <c r="A42" s="230" t="s">
        <v>171</v>
      </c>
      <c r="B42" s="232"/>
      <c r="C42" s="229"/>
      <c r="D42" s="229"/>
      <c r="E42" s="241"/>
      <c r="F42" s="230" t="s">
        <v>172</v>
      </c>
      <c r="G42" s="229"/>
      <c r="H42" s="229"/>
      <c r="I42" s="229"/>
      <c r="J42" s="246"/>
    </row>
    <row r="43" s="215" customFormat="1" ht="26.25" customHeight="1" spans="1:10">
      <c r="A43" s="230" t="s">
        <v>173</v>
      </c>
      <c r="B43" s="232"/>
      <c r="C43" s="229"/>
      <c r="D43" s="229"/>
      <c r="E43" s="241"/>
      <c r="F43" s="230" t="s">
        <v>174</v>
      </c>
      <c r="G43" s="229"/>
      <c r="H43" s="229"/>
      <c r="I43" s="229"/>
      <c r="J43" s="246"/>
    </row>
    <row r="44" s="215" customFormat="1" ht="26.25" customHeight="1" spans="1:10">
      <c r="A44" s="230" t="s">
        <v>175</v>
      </c>
      <c r="B44" s="232"/>
      <c r="C44" s="229"/>
      <c r="D44" s="229"/>
      <c r="E44" s="241"/>
      <c r="F44" s="230" t="s">
        <v>176</v>
      </c>
      <c r="G44" s="229"/>
      <c r="H44" s="229"/>
      <c r="I44" s="229"/>
      <c r="J44" s="246"/>
    </row>
    <row r="45" s="215" customFormat="1" ht="26.25" customHeight="1" spans="1:10">
      <c r="A45" s="230" t="s">
        <v>177</v>
      </c>
      <c r="B45" s="229">
        <v>492</v>
      </c>
      <c r="C45" s="229">
        <v>602</v>
      </c>
      <c r="D45" s="229">
        <v>483</v>
      </c>
      <c r="E45" s="241">
        <f t="shared" ref="E45:E51" si="10">(D45-B45)/B45*100</f>
        <v>-1.83</v>
      </c>
      <c r="F45" s="230" t="s">
        <v>178</v>
      </c>
      <c r="G45" s="229"/>
      <c r="H45" s="229"/>
      <c r="I45" s="229"/>
      <c r="J45" s="246"/>
    </row>
    <row r="46" s="215" customFormat="1" ht="26.25" customHeight="1" spans="1:10">
      <c r="A46" s="230" t="s">
        <v>179</v>
      </c>
      <c r="B46" s="232"/>
      <c r="C46" s="229"/>
      <c r="D46" s="229"/>
      <c r="E46" s="241"/>
      <c r="F46" s="230" t="s">
        <v>180</v>
      </c>
      <c r="G46" s="229"/>
      <c r="H46" s="229"/>
      <c r="I46" s="229"/>
      <c r="J46" s="246"/>
    </row>
    <row r="47" s="215" customFormat="1" ht="26.25" customHeight="1" spans="1:10">
      <c r="A47" s="230" t="s">
        <v>181</v>
      </c>
      <c r="B47" s="232"/>
      <c r="C47" s="229">
        <v>85</v>
      </c>
      <c r="D47" s="229">
        <v>150</v>
      </c>
      <c r="E47" s="241"/>
      <c r="F47" s="230" t="s">
        <v>182</v>
      </c>
      <c r="G47" s="229"/>
      <c r="H47" s="229"/>
      <c r="I47" s="229"/>
      <c r="J47" s="246"/>
    </row>
    <row r="48" s="215" customFormat="1" ht="26.25" customHeight="1" spans="1:10">
      <c r="A48" s="230" t="s">
        <v>183</v>
      </c>
      <c r="B48" s="232"/>
      <c r="C48" s="229"/>
      <c r="D48" s="229"/>
      <c r="E48" s="241"/>
      <c r="F48" s="230" t="s">
        <v>184</v>
      </c>
      <c r="G48" s="229"/>
      <c r="H48" s="229"/>
      <c r="I48" s="229"/>
      <c r="J48" s="246"/>
    </row>
    <row r="49" s="215" customFormat="1" ht="26.25" customHeight="1" spans="1:10">
      <c r="A49" s="230" t="s">
        <v>185</v>
      </c>
      <c r="B49" s="229">
        <v>230</v>
      </c>
      <c r="C49" s="229">
        <v>2190</v>
      </c>
      <c r="D49" s="231">
        <f>805+14191</f>
        <v>14996</v>
      </c>
      <c r="E49" s="241">
        <f t="shared" si="10"/>
        <v>6420</v>
      </c>
      <c r="F49" s="230" t="s">
        <v>186</v>
      </c>
      <c r="G49" s="229"/>
      <c r="H49" s="229"/>
      <c r="I49" s="229"/>
      <c r="J49" s="246"/>
    </row>
    <row r="50" s="215" customFormat="1" ht="26.25" customHeight="1" spans="1:10">
      <c r="A50" s="235" t="s">
        <v>187</v>
      </c>
      <c r="B50" s="225">
        <f t="shared" ref="B50:I50" si="11">SUM(B51:B71)</f>
        <v>1373</v>
      </c>
      <c r="C50" s="225">
        <f t="shared" si="11"/>
        <v>12241</v>
      </c>
      <c r="D50" s="225">
        <f t="shared" si="11"/>
        <v>4271</v>
      </c>
      <c r="E50" s="241">
        <f t="shared" si="10"/>
        <v>211.07</v>
      </c>
      <c r="F50" s="227" t="s">
        <v>188</v>
      </c>
      <c r="G50" s="225">
        <f t="shared" si="11"/>
        <v>0</v>
      </c>
      <c r="H50" s="225">
        <f t="shared" si="11"/>
        <v>0</v>
      </c>
      <c r="I50" s="225">
        <f t="shared" si="11"/>
        <v>0</v>
      </c>
      <c r="J50" s="246"/>
    </row>
    <row r="51" s="215" customFormat="1" ht="26.25" customHeight="1" spans="1:10">
      <c r="A51" s="230" t="s">
        <v>189</v>
      </c>
      <c r="B51" s="229">
        <v>55</v>
      </c>
      <c r="C51" s="229">
        <v>404</v>
      </c>
      <c r="D51" s="229">
        <v>79</v>
      </c>
      <c r="E51" s="241">
        <f t="shared" si="10"/>
        <v>43.64</v>
      </c>
      <c r="F51" s="230" t="s">
        <v>189</v>
      </c>
      <c r="G51" s="229"/>
      <c r="H51" s="229"/>
      <c r="I51" s="229"/>
      <c r="J51" s="246"/>
    </row>
    <row r="52" s="215" customFormat="1" ht="26.25" customHeight="1" spans="1:10">
      <c r="A52" s="230" t="s">
        <v>190</v>
      </c>
      <c r="B52" s="229"/>
      <c r="C52" s="229"/>
      <c r="D52" s="229"/>
      <c r="E52" s="241"/>
      <c r="F52" s="230" t="s">
        <v>190</v>
      </c>
      <c r="G52" s="229"/>
      <c r="H52" s="229"/>
      <c r="I52" s="229"/>
      <c r="J52" s="246"/>
    </row>
    <row r="53" s="215" customFormat="1" ht="26.25" customHeight="1" spans="1:10">
      <c r="A53" s="230" t="s">
        <v>191</v>
      </c>
      <c r="B53" s="229"/>
      <c r="C53" s="229"/>
      <c r="D53" s="229"/>
      <c r="E53" s="241"/>
      <c r="F53" s="230" t="s">
        <v>191</v>
      </c>
      <c r="G53" s="229"/>
      <c r="H53" s="229"/>
      <c r="I53" s="229"/>
      <c r="J53" s="246"/>
    </row>
    <row r="54" s="215" customFormat="1" ht="26.25" customHeight="1" spans="1:10">
      <c r="A54" s="230" t="s">
        <v>192</v>
      </c>
      <c r="B54" s="229"/>
      <c r="C54" s="229"/>
      <c r="D54" s="229"/>
      <c r="E54" s="241"/>
      <c r="F54" s="230" t="s">
        <v>192</v>
      </c>
      <c r="G54" s="229"/>
      <c r="H54" s="229"/>
      <c r="I54" s="229"/>
      <c r="J54" s="246"/>
    </row>
    <row r="55" s="215" customFormat="1" ht="26.25" customHeight="1" spans="1:10">
      <c r="A55" s="230" t="s">
        <v>193</v>
      </c>
      <c r="B55" s="233"/>
      <c r="C55" s="233">
        <v>30</v>
      </c>
      <c r="D55" s="233"/>
      <c r="E55" s="241"/>
      <c r="F55" s="230" t="s">
        <v>193</v>
      </c>
      <c r="G55" s="229"/>
      <c r="H55" s="229"/>
      <c r="I55" s="229"/>
      <c r="J55" s="246"/>
    </row>
    <row r="56" s="215" customFormat="1" ht="26.25" customHeight="1" spans="1:10">
      <c r="A56" s="230" t="s">
        <v>194</v>
      </c>
      <c r="B56" s="233"/>
      <c r="C56" s="233"/>
      <c r="D56" s="233"/>
      <c r="E56" s="241"/>
      <c r="F56" s="230" t="s">
        <v>194</v>
      </c>
      <c r="G56" s="229"/>
      <c r="H56" s="229"/>
      <c r="I56" s="229"/>
      <c r="J56" s="246"/>
    </row>
    <row r="57" s="215" customFormat="1" ht="26.25" customHeight="1" spans="1:10">
      <c r="A57" s="230" t="s">
        <v>195</v>
      </c>
      <c r="B57" s="41"/>
      <c r="C57" s="41">
        <v>46</v>
      </c>
      <c r="D57" s="41">
        <v>70</v>
      </c>
      <c r="E57" s="241"/>
      <c r="F57" s="230" t="s">
        <v>195</v>
      </c>
      <c r="G57" s="229"/>
      <c r="H57" s="229"/>
      <c r="I57" s="229"/>
      <c r="J57" s="246"/>
    </row>
    <row r="58" s="215" customFormat="1" ht="26.25" customHeight="1" spans="1:10">
      <c r="A58" s="230" t="s">
        <v>196</v>
      </c>
      <c r="B58" s="236">
        <v>28</v>
      </c>
      <c r="C58" s="41">
        <v>93</v>
      </c>
      <c r="D58" s="41">
        <v>39</v>
      </c>
      <c r="E58" s="241">
        <f t="shared" ref="E58:E63" si="12">(D58-B58)/B58*100</f>
        <v>39.29</v>
      </c>
      <c r="F58" s="230" t="s">
        <v>196</v>
      </c>
      <c r="G58" s="229"/>
      <c r="H58" s="229"/>
      <c r="I58" s="229"/>
      <c r="J58" s="246"/>
    </row>
    <row r="59" s="215" customFormat="1" ht="26.25" customHeight="1" spans="1:10">
      <c r="A59" s="230" t="s">
        <v>197</v>
      </c>
      <c r="B59" s="236"/>
      <c r="C59" s="41">
        <v>268</v>
      </c>
      <c r="D59" s="41"/>
      <c r="E59" s="241"/>
      <c r="F59" s="230" t="s">
        <v>197</v>
      </c>
      <c r="G59" s="229"/>
      <c r="H59" s="229"/>
      <c r="I59" s="229"/>
      <c r="J59" s="246"/>
    </row>
    <row r="60" s="215" customFormat="1" ht="26.25" customHeight="1" spans="1:10">
      <c r="A60" s="230" t="s">
        <v>198</v>
      </c>
      <c r="B60" s="236">
        <v>20</v>
      </c>
      <c r="C60" s="41">
        <v>193</v>
      </c>
      <c r="D60" s="41"/>
      <c r="E60" s="241">
        <f t="shared" si="12"/>
        <v>-100</v>
      </c>
      <c r="F60" s="230" t="s">
        <v>198</v>
      </c>
      <c r="G60" s="229"/>
      <c r="H60" s="229"/>
      <c r="I60" s="229"/>
      <c r="J60" s="246"/>
    </row>
    <row r="61" s="215" customFormat="1" ht="26.25" customHeight="1" spans="1:10">
      <c r="A61" s="230" t="s">
        <v>199</v>
      </c>
      <c r="B61" s="236"/>
      <c r="C61" s="41">
        <v>292</v>
      </c>
      <c r="D61" s="41"/>
      <c r="E61" s="241"/>
      <c r="F61" s="230" t="s">
        <v>199</v>
      </c>
      <c r="G61" s="229"/>
      <c r="H61" s="229"/>
      <c r="I61" s="229"/>
      <c r="J61" s="246"/>
    </row>
    <row r="62" s="215" customFormat="1" ht="26.25" customHeight="1" spans="1:10">
      <c r="A62" s="230" t="s">
        <v>200</v>
      </c>
      <c r="B62" s="236">
        <v>1120</v>
      </c>
      <c r="C62" s="41">
        <v>7408</v>
      </c>
      <c r="D62" s="41">
        <v>2370</v>
      </c>
      <c r="E62" s="241">
        <f t="shared" si="12"/>
        <v>111.61</v>
      </c>
      <c r="F62" s="230" t="s">
        <v>200</v>
      </c>
      <c r="G62" s="229"/>
      <c r="H62" s="229"/>
      <c r="I62" s="229"/>
      <c r="J62" s="246"/>
    </row>
    <row r="63" s="215" customFormat="1" ht="26.25" customHeight="1" spans="1:10">
      <c r="A63" s="230" t="s">
        <v>201</v>
      </c>
      <c r="B63" s="233">
        <v>85</v>
      </c>
      <c r="C63" s="233">
        <v>892</v>
      </c>
      <c r="D63" s="233">
        <v>66</v>
      </c>
      <c r="E63" s="241">
        <f t="shared" si="12"/>
        <v>-22.35</v>
      </c>
      <c r="F63" s="230" t="s">
        <v>201</v>
      </c>
      <c r="G63" s="229"/>
      <c r="H63" s="229"/>
      <c r="I63" s="229"/>
      <c r="J63" s="246"/>
    </row>
    <row r="64" s="215" customFormat="1" ht="26.25" customHeight="1" spans="1:10">
      <c r="A64" s="230" t="s">
        <v>202</v>
      </c>
      <c r="B64" s="229"/>
      <c r="C64" s="229">
        <v>189</v>
      </c>
      <c r="D64" s="229"/>
      <c r="E64" s="241"/>
      <c r="F64" s="230" t="s">
        <v>202</v>
      </c>
      <c r="G64" s="229"/>
      <c r="H64" s="229"/>
      <c r="I64" s="229"/>
      <c r="J64" s="246"/>
    </row>
    <row r="65" s="215" customFormat="1" ht="26.25" customHeight="1" spans="1:10">
      <c r="A65" s="230" t="s">
        <v>203</v>
      </c>
      <c r="B65" s="229"/>
      <c r="C65" s="229">
        <v>125</v>
      </c>
      <c r="D65" s="229"/>
      <c r="E65" s="241"/>
      <c r="F65" s="230" t="s">
        <v>203</v>
      </c>
      <c r="G65" s="229"/>
      <c r="H65" s="229"/>
      <c r="I65" s="229"/>
      <c r="J65" s="246"/>
    </row>
    <row r="66" s="215" customFormat="1" ht="26.25" customHeight="1" spans="1:10">
      <c r="A66" s="230" t="s">
        <v>204</v>
      </c>
      <c r="B66" s="229"/>
      <c r="C66" s="229">
        <v>296</v>
      </c>
      <c r="D66" s="229"/>
      <c r="E66" s="241"/>
      <c r="F66" s="230" t="s">
        <v>204</v>
      </c>
      <c r="G66" s="229"/>
      <c r="H66" s="229"/>
      <c r="I66" s="229"/>
      <c r="J66" s="246"/>
    </row>
    <row r="67" s="215" customFormat="1" ht="26.25" customHeight="1" spans="1:10">
      <c r="A67" s="230" t="s">
        <v>205</v>
      </c>
      <c r="B67" s="229">
        <v>5</v>
      </c>
      <c r="C67" s="229">
        <v>205</v>
      </c>
      <c r="D67" s="229">
        <v>108</v>
      </c>
      <c r="E67" s="241">
        <f>(D67-B67)/B67*100</f>
        <v>2060</v>
      </c>
      <c r="F67" s="230" t="s">
        <v>205</v>
      </c>
      <c r="G67" s="229"/>
      <c r="H67" s="229"/>
      <c r="I67" s="229"/>
      <c r="J67" s="246"/>
    </row>
    <row r="68" s="215" customFormat="1" ht="26.25" customHeight="1" spans="1:10">
      <c r="A68" s="230" t="s">
        <v>206</v>
      </c>
      <c r="B68" s="229"/>
      <c r="C68" s="229">
        <v>360</v>
      </c>
      <c r="D68" s="229"/>
      <c r="E68" s="241"/>
      <c r="F68" s="230" t="s">
        <v>206</v>
      </c>
      <c r="G68" s="229"/>
      <c r="H68" s="229"/>
      <c r="I68" s="229"/>
      <c r="J68" s="246"/>
    </row>
    <row r="69" s="215" customFormat="1" ht="26.25" customHeight="1" spans="1:10">
      <c r="A69" s="230" t="s">
        <v>207</v>
      </c>
      <c r="B69" s="229"/>
      <c r="C69" s="229"/>
      <c r="D69" s="229"/>
      <c r="E69" s="241"/>
      <c r="F69" s="230" t="s">
        <v>207</v>
      </c>
      <c r="G69" s="229"/>
      <c r="H69" s="229"/>
      <c r="I69" s="229"/>
      <c r="J69" s="246"/>
    </row>
    <row r="70" s="215" customFormat="1" ht="26.25" customHeight="1" spans="1:10">
      <c r="A70" s="247" t="s">
        <v>208</v>
      </c>
      <c r="B70" s="229">
        <v>60</v>
      </c>
      <c r="C70" s="229">
        <v>1440</v>
      </c>
      <c r="D70" s="229">
        <v>1539</v>
      </c>
      <c r="E70" s="241">
        <f>(D70-B70)/B70*100</f>
        <v>2465</v>
      </c>
      <c r="F70" s="652" t="s">
        <v>208</v>
      </c>
      <c r="G70" s="229"/>
      <c r="H70" s="229"/>
      <c r="I70" s="229"/>
      <c r="J70" s="246"/>
    </row>
    <row r="71" s="215" customFormat="1" ht="26.25" customHeight="1" spans="1:10">
      <c r="A71" s="230" t="s">
        <v>209</v>
      </c>
      <c r="B71" s="232"/>
      <c r="C71" s="229"/>
      <c r="D71" s="229"/>
      <c r="E71" s="241"/>
      <c r="F71" s="230" t="s">
        <v>210</v>
      </c>
      <c r="G71" s="229"/>
      <c r="H71" s="229"/>
      <c r="I71" s="229"/>
      <c r="J71" s="246"/>
    </row>
    <row r="72" s="215" customFormat="1" ht="26.25" customHeight="1" spans="1:10">
      <c r="A72" s="653" t="s">
        <v>211</v>
      </c>
      <c r="B72" s="225">
        <f t="shared" ref="B72:I72" si="13">SUM(B73:B74)</f>
        <v>0</v>
      </c>
      <c r="C72" s="225">
        <f t="shared" si="13"/>
        <v>0</v>
      </c>
      <c r="D72" s="225">
        <f t="shared" si="13"/>
        <v>0</v>
      </c>
      <c r="E72" s="241"/>
      <c r="F72" s="227" t="s">
        <v>212</v>
      </c>
      <c r="G72" s="225">
        <f t="shared" si="13"/>
        <v>4136</v>
      </c>
      <c r="H72" s="225">
        <f t="shared" si="13"/>
        <v>4113</v>
      </c>
      <c r="I72" s="225">
        <f t="shared" si="13"/>
        <v>4100</v>
      </c>
      <c r="J72" s="246">
        <f t="shared" ref="J72:J74" si="14">(I72-G72)/G72*100</f>
        <v>-0.87</v>
      </c>
    </row>
    <row r="73" s="215" customFormat="1" ht="26.25" customHeight="1" spans="1:10">
      <c r="A73" s="230" t="s">
        <v>213</v>
      </c>
      <c r="B73" s="229"/>
      <c r="C73" s="229"/>
      <c r="D73" s="229"/>
      <c r="E73" s="241"/>
      <c r="F73" s="249" t="s">
        <v>214</v>
      </c>
      <c r="G73" s="229">
        <v>73</v>
      </c>
      <c r="H73" s="229">
        <v>73</v>
      </c>
      <c r="I73" s="229">
        <v>73</v>
      </c>
      <c r="J73" s="246">
        <f t="shared" si="14"/>
        <v>0</v>
      </c>
    </row>
    <row r="74" s="215" customFormat="1" ht="26.25" customHeight="1" spans="1:10">
      <c r="A74" s="230" t="s">
        <v>215</v>
      </c>
      <c r="B74" s="229"/>
      <c r="C74" s="229"/>
      <c r="D74" s="229"/>
      <c r="E74" s="241"/>
      <c r="F74" s="249" t="s">
        <v>216</v>
      </c>
      <c r="G74" s="232">
        <v>4063</v>
      </c>
      <c r="H74" s="229">
        <v>4040</v>
      </c>
      <c r="I74" s="229">
        <v>4027</v>
      </c>
      <c r="J74" s="246">
        <f t="shared" si="14"/>
        <v>-0.89</v>
      </c>
    </row>
    <row r="75" s="215" customFormat="1" ht="26.25" customHeight="1" spans="1:10">
      <c r="A75" s="226" t="s">
        <v>217</v>
      </c>
      <c r="B75" s="225">
        <f t="shared" ref="B75:I75" si="15">SUM(B76:B77)</f>
        <v>102871</v>
      </c>
      <c r="C75" s="225">
        <f t="shared" si="15"/>
        <v>67857</v>
      </c>
      <c r="D75" s="225">
        <f t="shared" si="15"/>
        <v>28941</v>
      </c>
      <c r="E75" s="241">
        <f t="shared" ref="E75:E80" si="16">(D75-B75)/B75*100</f>
        <v>-71.87</v>
      </c>
      <c r="F75" s="227" t="s">
        <v>218</v>
      </c>
      <c r="G75" s="225">
        <f t="shared" si="15"/>
        <v>0</v>
      </c>
      <c r="H75" s="225">
        <f t="shared" si="15"/>
        <v>28941</v>
      </c>
      <c r="I75" s="225">
        <f t="shared" si="15"/>
        <v>0</v>
      </c>
      <c r="J75" s="246"/>
    </row>
    <row r="76" s="215" customFormat="1" ht="26.25" customHeight="1" spans="1:10">
      <c r="A76" s="228" t="s">
        <v>219</v>
      </c>
      <c r="B76" s="229">
        <v>102871</v>
      </c>
      <c r="C76" s="229">
        <v>67857</v>
      </c>
      <c r="D76" s="229">
        <v>28941</v>
      </c>
      <c r="E76" s="241">
        <f t="shared" si="16"/>
        <v>-71.87</v>
      </c>
      <c r="F76" s="249" t="s">
        <v>220</v>
      </c>
      <c r="G76" s="229"/>
      <c r="H76" s="229">
        <v>28941</v>
      </c>
      <c r="I76" s="229"/>
      <c r="J76" s="246"/>
    </row>
    <row r="77" s="215" customFormat="1" ht="26.25" customHeight="1" spans="1:10">
      <c r="A77" s="228" t="s">
        <v>221</v>
      </c>
      <c r="B77" s="229"/>
      <c r="C77" s="229"/>
      <c r="D77" s="229"/>
      <c r="E77" s="241"/>
      <c r="F77" s="249" t="s">
        <v>221</v>
      </c>
      <c r="G77" s="229"/>
      <c r="H77" s="229"/>
      <c r="I77" s="229"/>
      <c r="J77" s="246"/>
    </row>
    <row r="78" s="215" customFormat="1" ht="26.25" customHeight="1" spans="1:10">
      <c r="A78" s="653" t="s">
        <v>222</v>
      </c>
      <c r="B78" s="225">
        <f>B79</f>
        <v>11463</v>
      </c>
      <c r="C78" s="225">
        <f>C79</f>
        <v>200</v>
      </c>
      <c r="D78" s="225">
        <f>D79</f>
        <v>0</v>
      </c>
      <c r="E78" s="241">
        <f t="shared" si="16"/>
        <v>-100</v>
      </c>
      <c r="F78" s="243" t="s">
        <v>223</v>
      </c>
      <c r="G78" s="225"/>
      <c r="H78" s="225"/>
      <c r="I78" s="225"/>
      <c r="J78" s="246"/>
    </row>
    <row r="79" s="215" customFormat="1" ht="26.25" customHeight="1" spans="1:10">
      <c r="A79" s="653" t="s">
        <v>224</v>
      </c>
      <c r="B79" s="225">
        <f>SUM(B80:B82)</f>
        <v>11463</v>
      </c>
      <c r="C79" s="225">
        <f>SUM(C80:C82)</f>
        <v>200</v>
      </c>
      <c r="D79" s="225">
        <f>SUM(D80:D82)</f>
        <v>0</v>
      </c>
      <c r="E79" s="241">
        <f t="shared" si="16"/>
        <v>-100</v>
      </c>
      <c r="F79" s="248" t="s">
        <v>225</v>
      </c>
      <c r="G79" s="225"/>
      <c r="H79" s="225"/>
      <c r="I79" s="225"/>
      <c r="J79" s="246"/>
    </row>
    <row r="80" s="215" customFormat="1" ht="26.25" customHeight="1" spans="1:10">
      <c r="A80" s="230" t="s">
        <v>226</v>
      </c>
      <c r="B80" s="229">
        <v>11463</v>
      </c>
      <c r="C80" s="229"/>
      <c r="D80" s="229"/>
      <c r="E80" s="241">
        <f t="shared" si="16"/>
        <v>-100</v>
      </c>
      <c r="F80" s="653" t="s">
        <v>227</v>
      </c>
      <c r="G80" s="225"/>
      <c r="H80" s="225">
        <v>45393</v>
      </c>
      <c r="I80" s="225"/>
      <c r="J80" s="246"/>
    </row>
    <row r="81" s="215" customFormat="1" ht="26.25" customHeight="1" spans="1:10">
      <c r="A81" s="230" t="s">
        <v>228</v>
      </c>
      <c r="B81" s="229"/>
      <c r="C81" s="229"/>
      <c r="D81" s="229"/>
      <c r="E81" s="241"/>
      <c r="F81" s="243" t="s">
        <v>229</v>
      </c>
      <c r="G81" s="225">
        <f t="shared" ref="G81:I81" si="17">G82</f>
        <v>800</v>
      </c>
      <c r="H81" s="225">
        <f t="shared" si="17"/>
        <v>5000</v>
      </c>
      <c r="I81" s="225">
        <f t="shared" si="17"/>
        <v>3700</v>
      </c>
      <c r="J81" s="246">
        <f t="shared" ref="J81:J83" si="18">(I81-G81)/G81*100</f>
        <v>362.5</v>
      </c>
    </row>
    <row r="82" s="215" customFormat="1" ht="26.25" customHeight="1" spans="1:10">
      <c r="A82" s="230" t="s">
        <v>230</v>
      </c>
      <c r="B82" s="229"/>
      <c r="C82" s="229">
        <v>200</v>
      </c>
      <c r="D82" s="229"/>
      <c r="E82" s="241"/>
      <c r="F82" s="243" t="s">
        <v>231</v>
      </c>
      <c r="G82" s="225">
        <f t="shared" ref="G82:I82" si="19">SUM(G83:G86)</f>
        <v>800</v>
      </c>
      <c r="H82" s="225">
        <f t="shared" si="19"/>
        <v>5000</v>
      </c>
      <c r="I82" s="225">
        <f t="shared" si="19"/>
        <v>3700</v>
      </c>
      <c r="J82" s="246">
        <f t="shared" si="18"/>
        <v>362.5</v>
      </c>
    </row>
    <row r="83" s="215" customFormat="1" ht="26.25" customHeight="1" spans="1:10">
      <c r="A83" s="651" t="s">
        <v>232</v>
      </c>
      <c r="B83" s="225">
        <f>B84</f>
        <v>0</v>
      </c>
      <c r="C83" s="225">
        <f>C84</f>
        <v>5893</v>
      </c>
      <c r="D83" s="225">
        <f>D84</f>
        <v>0</v>
      </c>
      <c r="E83" s="241"/>
      <c r="F83" s="652" t="s">
        <v>233</v>
      </c>
      <c r="G83" s="232">
        <v>800</v>
      </c>
      <c r="H83" s="229">
        <v>5000</v>
      </c>
      <c r="I83" s="229">
        <v>3700</v>
      </c>
      <c r="J83" s="246">
        <f t="shared" si="18"/>
        <v>362.5</v>
      </c>
    </row>
    <row r="84" s="215" customFormat="1" ht="26.25" customHeight="1" spans="1:10">
      <c r="A84" s="651" t="s">
        <v>234</v>
      </c>
      <c r="B84" s="225">
        <f>SUM(B85:B88)</f>
        <v>0</v>
      </c>
      <c r="C84" s="225">
        <f t="shared" ref="C84:I84" si="20">SUM(C85:C88)</f>
        <v>5893</v>
      </c>
      <c r="D84" s="225">
        <f t="shared" si="20"/>
        <v>0</v>
      </c>
      <c r="E84" s="241"/>
      <c r="F84" s="249" t="s">
        <v>235</v>
      </c>
      <c r="G84" s="232"/>
      <c r="H84" s="229">
        <f t="shared" si="20"/>
        <v>0</v>
      </c>
      <c r="I84" s="229">
        <f t="shared" si="20"/>
        <v>0</v>
      </c>
      <c r="J84" s="246"/>
    </row>
    <row r="85" s="215" customFormat="1" ht="26.25" customHeight="1" spans="1:10">
      <c r="A85" s="249" t="s">
        <v>236</v>
      </c>
      <c r="B85" s="232"/>
      <c r="C85" s="229">
        <v>5893</v>
      </c>
      <c r="D85" s="229"/>
      <c r="E85" s="241"/>
      <c r="F85" s="249" t="s">
        <v>237</v>
      </c>
      <c r="G85" s="232"/>
      <c r="H85" s="229"/>
      <c r="I85" s="229"/>
      <c r="J85" s="246"/>
    </row>
    <row r="86" s="215" customFormat="1" ht="26.25" customHeight="1" spans="1:10">
      <c r="A86" s="654" t="s">
        <v>238</v>
      </c>
      <c r="B86" s="232"/>
      <c r="C86" s="229"/>
      <c r="D86" s="229"/>
      <c r="E86" s="241"/>
      <c r="F86" s="249" t="s">
        <v>239</v>
      </c>
      <c r="G86" s="232"/>
      <c r="H86" s="229"/>
      <c r="I86" s="229"/>
      <c r="J86" s="246"/>
    </row>
    <row r="87" s="215" customFormat="1" ht="26.25" customHeight="1" spans="1:10">
      <c r="A87" s="654" t="s">
        <v>240</v>
      </c>
      <c r="B87" s="232"/>
      <c r="C87" s="229"/>
      <c r="D87" s="229"/>
      <c r="E87" s="241"/>
      <c r="F87" s="249"/>
      <c r="G87" s="229"/>
      <c r="H87" s="229"/>
      <c r="I87" s="229"/>
      <c r="J87" s="246"/>
    </row>
    <row r="88" s="215" customFormat="1" ht="26.25" customHeight="1" spans="1:10">
      <c r="A88" s="654" t="s">
        <v>241</v>
      </c>
      <c r="B88" s="232"/>
      <c r="C88" s="229"/>
      <c r="D88" s="229"/>
      <c r="E88" s="241"/>
      <c r="F88" s="249"/>
      <c r="G88" s="229"/>
      <c r="H88" s="229"/>
      <c r="I88" s="229"/>
      <c r="J88" s="246"/>
    </row>
    <row r="89" s="214" customFormat="1" ht="26.25" customHeight="1" spans="1:10">
      <c r="A89" s="653" t="s">
        <v>242</v>
      </c>
      <c r="B89" s="225">
        <v>2151</v>
      </c>
      <c r="C89" s="225">
        <v>36401</v>
      </c>
      <c r="D89" s="225">
        <v>45393</v>
      </c>
      <c r="E89" s="241"/>
      <c r="F89" s="248"/>
      <c r="G89" s="225"/>
      <c r="H89" s="225"/>
      <c r="I89" s="225"/>
      <c r="J89" s="246"/>
    </row>
    <row r="90" s="214" customFormat="1" ht="26.25" customHeight="1" spans="1:10">
      <c r="A90" s="226" t="s">
        <v>243</v>
      </c>
      <c r="B90" s="225">
        <f>SUM(B91:B94)</f>
        <v>0</v>
      </c>
      <c r="C90" s="225">
        <f>SUM(C91:C94)</f>
        <v>0</v>
      </c>
      <c r="D90" s="225">
        <f>SUM(D91:D94)</f>
        <v>0</v>
      </c>
      <c r="E90" s="241"/>
      <c r="F90" s="227"/>
      <c r="G90" s="225"/>
      <c r="H90" s="225"/>
      <c r="I90" s="225"/>
      <c r="J90" s="246"/>
    </row>
    <row r="91" s="214" customFormat="1" ht="26.25" customHeight="1" spans="1:10">
      <c r="A91" s="228" t="s">
        <v>244</v>
      </c>
      <c r="B91" s="229"/>
      <c r="C91" s="229"/>
      <c r="D91" s="229"/>
      <c r="E91" s="241"/>
      <c r="F91" s="249"/>
      <c r="G91" s="229"/>
      <c r="H91" s="229"/>
      <c r="I91" s="229"/>
      <c r="J91" s="246"/>
    </row>
    <row r="92" s="214" customFormat="1" ht="26.25" customHeight="1" spans="1:10">
      <c r="A92" s="228" t="s">
        <v>245</v>
      </c>
      <c r="B92" s="229"/>
      <c r="C92" s="229"/>
      <c r="D92" s="229"/>
      <c r="E92" s="241"/>
      <c r="F92" s="249"/>
      <c r="G92" s="229"/>
      <c r="H92" s="229"/>
      <c r="I92" s="229"/>
      <c r="J92" s="246"/>
    </row>
    <row r="93" s="214" customFormat="1" ht="26.25" customHeight="1" spans="1:10">
      <c r="A93" s="228" t="s">
        <v>246</v>
      </c>
      <c r="B93" s="229"/>
      <c r="C93" s="229"/>
      <c r="D93" s="229"/>
      <c r="E93" s="241"/>
      <c r="F93" s="249"/>
      <c r="G93" s="229"/>
      <c r="H93" s="229"/>
      <c r="I93" s="229"/>
      <c r="J93" s="246"/>
    </row>
    <row r="94" s="214" customFormat="1" ht="26.25" customHeight="1" spans="1:10">
      <c r="A94" s="228" t="s">
        <v>247</v>
      </c>
      <c r="B94" s="229"/>
      <c r="C94" s="229"/>
      <c r="D94" s="229"/>
      <c r="E94" s="241"/>
      <c r="F94" s="249"/>
      <c r="G94" s="229"/>
      <c r="H94" s="229"/>
      <c r="I94" s="229"/>
      <c r="J94" s="246"/>
    </row>
    <row r="95" s="214" customFormat="1" ht="26.25" customHeight="1" spans="1:12">
      <c r="A95" s="223" t="s">
        <v>1256</v>
      </c>
      <c r="B95" s="229">
        <f>SUM(B5+B6)</f>
        <v>370616</v>
      </c>
      <c r="C95" s="229">
        <f>SUM(C5+C6)</f>
        <v>420800</v>
      </c>
      <c r="D95" s="229">
        <f>SUM(D5+D6)</f>
        <v>350606</v>
      </c>
      <c r="E95" s="241">
        <f>(D95-B95)/B95*100</f>
        <v>-5.4</v>
      </c>
      <c r="F95" s="250" t="s">
        <v>249</v>
      </c>
      <c r="G95" s="251">
        <f t="shared" ref="G95:I95" si="21">G5+G6+G81</f>
        <v>370616</v>
      </c>
      <c r="H95" s="251">
        <f t="shared" si="21"/>
        <v>420800</v>
      </c>
      <c r="I95" s="251">
        <f t="shared" si="21"/>
        <v>350606</v>
      </c>
      <c r="J95" s="246">
        <f>(I95-G95)/G95*100</f>
        <v>-5.4</v>
      </c>
      <c r="L95" s="252">
        <f>I95-D95</f>
        <v>0</v>
      </c>
    </row>
  </sheetData>
  <mergeCells count="4">
    <mergeCell ref="A1:J1"/>
    <mergeCell ref="G2:J2"/>
    <mergeCell ref="A3:C3"/>
    <mergeCell ref="F3:H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J12" sqref="J12"/>
    </sheetView>
  </sheetViews>
  <sheetFormatPr defaultColWidth="9" defaultRowHeight="15.75" outlineLevelCol="6"/>
  <cols>
    <col min="1" max="1" width="26.375" style="615" customWidth="1"/>
    <col min="2" max="2" width="12.625" style="615" customWidth="1"/>
    <col min="3" max="3" width="10.375" style="615" customWidth="1"/>
    <col min="4" max="5" width="11.25" style="615" customWidth="1"/>
    <col min="6" max="6" width="11.375" style="615" customWidth="1"/>
    <col min="7" max="7" width="10.625" style="615" customWidth="1"/>
    <col min="8" max="16384" width="9" style="253"/>
  </cols>
  <sheetData>
    <row r="1" s="253" customFormat="1" ht="20.25" spans="1:7">
      <c r="A1" s="645" t="s">
        <v>50</v>
      </c>
      <c r="B1" s="616"/>
      <c r="C1" s="616"/>
      <c r="D1" s="616"/>
      <c r="E1" s="616"/>
      <c r="F1" s="616"/>
      <c r="G1" s="616"/>
    </row>
    <row r="2" s="253" customFormat="1" ht="16.5" spans="1:7">
      <c r="A2" s="617"/>
      <c r="B2" s="617"/>
      <c r="C2" s="617"/>
      <c r="D2" s="617"/>
      <c r="E2" s="617"/>
      <c r="F2" s="626" t="s">
        <v>51</v>
      </c>
      <c r="G2" s="627"/>
    </row>
    <row r="3" s="253" customFormat="1" ht="46.5" customHeight="1" spans="1:7">
      <c r="A3" s="618" t="s">
        <v>52</v>
      </c>
      <c r="B3" s="646" t="s">
        <v>53</v>
      </c>
      <c r="C3" s="646" t="s">
        <v>54</v>
      </c>
      <c r="D3" s="646" t="s">
        <v>55</v>
      </c>
      <c r="E3" s="646" t="s">
        <v>56</v>
      </c>
      <c r="F3" s="619" t="s">
        <v>57</v>
      </c>
      <c r="G3" s="628" t="s">
        <v>58</v>
      </c>
    </row>
    <row r="4" s="253" customFormat="1" ht="24" customHeight="1" spans="1:7">
      <c r="A4" s="620" t="s">
        <v>59</v>
      </c>
      <c r="B4" s="621">
        <f>SUM(B5:B19)</f>
        <v>15766</v>
      </c>
      <c r="C4" s="621">
        <f>SUM(C5:C19)</f>
        <v>16025</v>
      </c>
      <c r="D4" s="621">
        <f>SUM(D5:D19)</f>
        <v>16532</v>
      </c>
      <c r="E4" s="621">
        <f>SUM(E5:E19)</f>
        <v>14314</v>
      </c>
      <c r="F4" s="629">
        <f t="shared" ref="F4:F16" si="0">IF(B4=0,,SUM(E4/B4*100)-100)</f>
        <v>-9.21</v>
      </c>
      <c r="G4" s="630">
        <f t="shared" ref="G4:G16" si="1">E4/D4*100</f>
        <v>86.58</v>
      </c>
    </row>
    <row r="5" s="253" customFormat="1" ht="26.25" customHeight="1" spans="1:7">
      <c r="A5" s="372" t="s">
        <v>60</v>
      </c>
      <c r="B5" s="232">
        <v>4029</v>
      </c>
      <c r="C5" s="373">
        <f>4250+120</f>
        <v>4370</v>
      </c>
      <c r="D5" s="374">
        <v>4370</v>
      </c>
      <c r="E5" s="373">
        <v>3843</v>
      </c>
      <c r="F5" s="631">
        <f t="shared" si="0"/>
        <v>-4.62</v>
      </c>
      <c r="G5" s="632">
        <f t="shared" si="1"/>
        <v>87.94</v>
      </c>
    </row>
    <row r="6" s="253" customFormat="1" ht="26.25" customHeight="1" spans="1:7">
      <c r="A6" s="372" t="s">
        <v>61</v>
      </c>
      <c r="B6" s="232">
        <v>1170</v>
      </c>
      <c r="C6" s="373">
        <v>1300</v>
      </c>
      <c r="D6" s="374">
        <v>1650</v>
      </c>
      <c r="E6" s="373">
        <v>1726</v>
      </c>
      <c r="F6" s="631">
        <f t="shared" si="0"/>
        <v>47.52</v>
      </c>
      <c r="G6" s="632">
        <f t="shared" si="1"/>
        <v>104.61</v>
      </c>
    </row>
    <row r="7" s="253" customFormat="1" ht="26.25" customHeight="1" spans="1:7">
      <c r="A7" s="372" t="s">
        <v>62</v>
      </c>
      <c r="B7" s="232">
        <v>283</v>
      </c>
      <c r="C7" s="373">
        <v>300</v>
      </c>
      <c r="D7" s="374">
        <v>350</v>
      </c>
      <c r="E7" s="373">
        <v>332</v>
      </c>
      <c r="F7" s="631">
        <f t="shared" si="0"/>
        <v>17.31</v>
      </c>
      <c r="G7" s="632">
        <f t="shared" si="1"/>
        <v>94.86</v>
      </c>
    </row>
    <row r="8" s="253" customFormat="1" ht="26.25" customHeight="1" spans="1:7">
      <c r="A8" s="372" t="s">
        <v>63</v>
      </c>
      <c r="B8" s="232">
        <v>36</v>
      </c>
      <c r="C8" s="373">
        <v>50</v>
      </c>
      <c r="D8" s="374">
        <v>180</v>
      </c>
      <c r="E8" s="373">
        <v>170</v>
      </c>
      <c r="F8" s="631">
        <f t="shared" si="0"/>
        <v>372.22</v>
      </c>
      <c r="G8" s="632">
        <f t="shared" si="1"/>
        <v>94.44</v>
      </c>
    </row>
    <row r="9" s="253" customFormat="1" ht="26.25" customHeight="1" spans="1:7">
      <c r="A9" s="372" t="s">
        <v>64</v>
      </c>
      <c r="B9" s="232">
        <v>581</v>
      </c>
      <c r="C9" s="373">
        <v>600</v>
      </c>
      <c r="D9" s="374">
        <v>600</v>
      </c>
      <c r="E9" s="373">
        <v>588</v>
      </c>
      <c r="F9" s="631">
        <f t="shared" si="0"/>
        <v>1.2</v>
      </c>
      <c r="G9" s="632">
        <f t="shared" si="1"/>
        <v>98</v>
      </c>
    </row>
    <row r="10" s="253" customFormat="1" ht="26.25" customHeight="1" spans="1:7">
      <c r="A10" s="372" t="s">
        <v>65</v>
      </c>
      <c r="B10" s="232">
        <v>917</v>
      </c>
      <c r="C10" s="373">
        <v>500</v>
      </c>
      <c r="D10" s="374">
        <v>1200</v>
      </c>
      <c r="E10" s="373">
        <v>1221</v>
      </c>
      <c r="F10" s="631">
        <f t="shared" si="0"/>
        <v>33.15</v>
      </c>
      <c r="G10" s="632">
        <f t="shared" si="1"/>
        <v>101.75</v>
      </c>
    </row>
    <row r="11" s="253" customFormat="1" ht="26.25" customHeight="1" spans="1:7">
      <c r="A11" s="372" t="s">
        <v>66</v>
      </c>
      <c r="B11" s="232">
        <v>230</v>
      </c>
      <c r="C11" s="373">
        <v>300</v>
      </c>
      <c r="D11" s="374">
        <v>300</v>
      </c>
      <c r="E11" s="373">
        <v>270</v>
      </c>
      <c r="F11" s="631">
        <f t="shared" si="0"/>
        <v>17.39</v>
      </c>
      <c r="G11" s="632">
        <f t="shared" si="1"/>
        <v>90</v>
      </c>
    </row>
    <row r="12" s="253" customFormat="1" ht="26.25" customHeight="1" spans="1:7">
      <c r="A12" s="372" t="s">
        <v>67</v>
      </c>
      <c r="B12" s="232">
        <v>311</v>
      </c>
      <c r="C12" s="373">
        <v>200</v>
      </c>
      <c r="D12" s="374">
        <v>350</v>
      </c>
      <c r="E12" s="373">
        <v>342</v>
      </c>
      <c r="F12" s="631">
        <f t="shared" si="0"/>
        <v>9.97</v>
      </c>
      <c r="G12" s="632">
        <f t="shared" si="1"/>
        <v>97.71</v>
      </c>
    </row>
    <row r="13" s="253" customFormat="1" ht="26.25" customHeight="1" spans="1:7">
      <c r="A13" s="372" t="s">
        <v>68</v>
      </c>
      <c r="B13" s="232">
        <v>1746</v>
      </c>
      <c r="C13" s="373">
        <v>1600</v>
      </c>
      <c r="D13" s="374">
        <v>1600</v>
      </c>
      <c r="E13" s="373">
        <v>1074</v>
      </c>
      <c r="F13" s="631">
        <f t="shared" si="0"/>
        <v>-38.49</v>
      </c>
      <c r="G13" s="632">
        <f t="shared" si="1"/>
        <v>67.13</v>
      </c>
    </row>
    <row r="14" s="253" customFormat="1" ht="26.25" customHeight="1" spans="1:7">
      <c r="A14" s="372" t="s">
        <v>69</v>
      </c>
      <c r="B14" s="232">
        <v>4189</v>
      </c>
      <c r="C14" s="373">
        <v>4200</v>
      </c>
      <c r="D14" s="374">
        <f>4200-250-154-19</f>
        <v>3777</v>
      </c>
      <c r="E14" s="373">
        <v>2550</v>
      </c>
      <c r="F14" s="631">
        <f t="shared" si="0"/>
        <v>-39.13</v>
      </c>
      <c r="G14" s="632">
        <f t="shared" si="1"/>
        <v>67.51</v>
      </c>
    </row>
    <row r="15" s="253" customFormat="1" ht="26.25" customHeight="1" spans="1:7">
      <c r="A15" s="372" t="s">
        <v>70</v>
      </c>
      <c r="B15" s="232">
        <v>1705</v>
      </c>
      <c r="C15" s="373">
        <v>2000</v>
      </c>
      <c r="D15" s="374">
        <v>1500</v>
      </c>
      <c r="E15" s="373">
        <v>1505</v>
      </c>
      <c r="F15" s="631">
        <f t="shared" si="0"/>
        <v>-11.73</v>
      </c>
      <c r="G15" s="632">
        <f t="shared" si="1"/>
        <v>100.33</v>
      </c>
    </row>
    <row r="16" s="253" customFormat="1" ht="26.25" customHeight="1" spans="1:7">
      <c r="A16" s="372" t="s">
        <v>71</v>
      </c>
      <c r="B16" s="232">
        <v>567</v>
      </c>
      <c r="C16" s="373">
        <v>600</v>
      </c>
      <c r="D16" s="374">
        <v>650</v>
      </c>
      <c r="E16" s="373">
        <v>692</v>
      </c>
      <c r="F16" s="631">
        <f t="shared" si="0"/>
        <v>22.05</v>
      </c>
      <c r="G16" s="632">
        <f t="shared" si="1"/>
        <v>106.46</v>
      </c>
    </row>
    <row r="17" s="253" customFormat="1" ht="26.25" customHeight="1" spans="1:7">
      <c r="A17" s="372" t="s">
        <v>72</v>
      </c>
      <c r="B17" s="232"/>
      <c r="C17" s="373"/>
      <c r="D17" s="375"/>
      <c r="E17" s="373"/>
      <c r="F17" s="631"/>
      <c r="G17" s="632"/>
    </row>
    <row r="18" s="253" customFormat="1" ht="26.25" customHeight="1" spans="1:7">
      <c r="A18" s="647" t="s">
        <v>73</v>
      </c>
      <c r="B18" s="232">
        <v>2</v>
      </c>
      <c r="C18" s="373">
        <v>5</v>
      </c>
      <c r="D18" s="375">
        <v>5</v>
      </c>
      <c r="E18" s="373">
        <v>1</v>
      </c>
      <c r="F18" s="631">
        <f t="shared" ref="F18:F24" si="2">IF(B18=0,,SUM(E18/B18*100)-100)</f>
        <v>-50</v>
      </c>
      <c r="G18" s="632">
        <f t="shared" ref="G18:G23" si="3">E18/D18*100</f>
        <v>20</v>
      </c>
    </row>
    <row r="19" s="253" customFormat="1" ht="26.25" customHeight="1" spans="1:7">
      <c r="A19" s="372" t="s">
        <v>74</v>
      </c>
      <c r="B19" s="232"/>
      <c r="C19" s="376"/>
      <c r="D19" s="375"/>
      <c r="E19" s="375"/>
      <c r="F19" s="631">
        <f t="shared" si="2"/>
        <v>0</v>
      </c>
      <c r="G19" s="632"/>
    </row>
    <row r="20" s="253" customFormat="1" ht="26.25" customHeight="1" spans="1:7">
      <c r="A20" s="620" t="s">
        <v>75</v>
      </c>
      <c r="B20" s="621">
        <f>SUM(B21:B27)</f>
        <v>6180</v>
      </c>
      <c r="C20" s="621">
        <f>SUM(C21:C27)</f>
        <v>6073</v>
      </c>
      <c r="D20" s="621">
        <f>SUM(D21:D27)</f>
        <v>6073</v>
      </c>
      <c r="E20" s="621">
        <f>SUM(E21:E27)</f>
        <v>6810</v>
      </c>
      <c r="F20" s="629">
        <f t="shared" si="2"/>
        <v>10.19</v>
      </c>
      <c r="G20" s="630">
        <f t="shared" si="3"/>
        <v>112.14</v>
      </c>
    </row>
    <row r="21" s="253" customFormat="1" ht="26.25" customHeight="1" spans="1:7">
      <c r="A21" s="372" t="s">
        <v>76</v>
      </c>
      <c r="B21" s="377">
        <v>795</v>
      </c>
      <c r="C21" s="377">
        <v>1380</v>
      </c>
      <c r="D21" s="377">
        <v>1380</v>
      </c>
      <c r="E21" s="373">
        <v>871</v>
      </c>
      <c r="F21" s="631">
        <f t="shared" si="2"/>
        <v>9.56</v>
      </c>
      <c r="G21" s="632">
        <f t="shared" si="3"/>
        <v>63.12</v>
      </c>
    </row>
    <row r="22" s="253" customFormat="1" ht="26.25" customHeight="1" spans="1:7">
      <c r="A22" s="372" t="s">
        <v>77</v>
      </c>
      <c r="B22" s="377">
        <v>1722</v>
      </c>
      <c r="C22" s="377">
        <f>2320-397</f>
        <v>1923</v>
      </c>
      <c r="D22" s="377">
        <f>2320-397</f>
        <v>1923</v>
      </c>
      <c r="E22" s="373">
        <v>2051</v>
      </c>
      <c r="F22" s="631">
        <f t="shared" si="2"/>
        <v>19.11</v>
      </c>
      <c r="G22" s="632">
        <f t="shared" si="3"/>
        <v>106.66</v>
      </c>
    </row>
    <row r="23" s="253" customFormat="1" ht="26.25" customHeight="1" spans="1:7">
      <c r="A23" s="372" t="s">
        <v>78</v>
      </c>
      <c r="B23" s="377">
        <v>2865</v>
      </c>
      <c r="C23" s="377">
        <v>1590</v>
      </c>
      <c r="D23" s="377">
        <v>1590</v>
      </c>
      <c r="E23" s="373">
        <v>2875</v>
      </c>
      <c r="F23" s="631">
        <f t="shared" si="2"/>
        <v>0.35</v>
      </c>
      <c r="G23" s="632">
        <f t="shared" si="3"/>
        <v>180.82</v>
      </c>
    </row>
    <row r="24" s="253" customFormat="1" ht="26.25" customHeight="1" spans="1:7">
      <c r="A24" s="372" t="s">
        <v>79</v>
      </c>
      <c r="B24" s="377"/>
      <c r="C24" s="377"/>
      <c r="D24" s="377"/>
      <c r="E24" s="373"/>
      <c r="F24" s="631">
        <f t="shared" si="2"/>
        <v>0</v>
      </c>
      <c r="G24" s="632"/>
    </row>
    <row r="25" s="253" customFormat="1" ht="26.25" customHeight="1" spans="1:7">
      <c r="A25" s="378" t="s">
        <v>80</v>
      </c>
      <c r="B25" s="377">
        <v>673</v>
      </c>
      <c r="C25" s="377">
        <v>980</v>
      </c>
      <c r="D25" s="377">
        <v>980</v>
      </c>
      <c r="E25" s="373">
        <v>659</v>
      </c>
      <c r="F25" s="631"/>
      <c r="G25" s="632"/>
    </row>
    <row r="26" s="253" customFormat="1" ht="26.25" customHeight="1" spans="1:7">
      <c r="A26" s="379" t="s">
        <v>81</v>
      </c>
      <c r="B26" s="377">
        <v>125</v>
      </c>
      <c r="C26" s="377">
        <v>200</v>
      </c>
      <c r="D26" s="377">
        <v>200</v>
      </c>
      <c r="E26" s="373">
        <v>353</v>
      </c>
      <c r="F26" s="631">
        <f t="shared" ref="F26:F28" si="4">IF(B26=0,,SUM(E26/B26*100)-100)</f>
        <v>182.4</v>
      </c>
      <c r="G26" s="632">
        <f>E26/D26*100</f>
        <v>176.5</v>
      </c>
    </row>
    <row r="27" s="253" customFormat="1" ht="17.25" customHeight="1" spans="1:7">
      <c r="A27" s="372" t="s">
        <v>82</v>
      </c>
      <c r="B27" s="377"/>
      <c r="C27" s="376"/>
      <c r="D27" s="375"/>
      <c r="E27" s="373">
        <v>1</v>
      </c>
      <c r="F27" s="631">
        <f t="shared" si="4"/>
        <v>0</v>
      </c>
      <c r="G27" s="633"/>
    </row>
    <row r="28" ht="16.5" spans="1:7">
      <c r="A28" s="622" t="s">
        <v>83</v>
      </c>
      <c r="B28" s="623">
        <f>SUM(B20+B4)</f>
        <v>21946</v>
      </c>
      <c r="C28" s="623">
        <f>SUM(C20+C4)</f>
        <v>22098</v>
      </c>
      <c r="D28" s="623">
        <f>SUM(D20+D4)</f>
        <v>22605</v>
      </c>
      <c r="E28" s="623">
        <f>SUM(E20+E4)</f>
        <v>21124</v>
      </c>
      <c r="F28" s="634">
        <f t="shared" si="4"/>
        <v>-3.75</v>
      </c>
      <c r="G28" s="635">
        <f>E28/D28*100</f>
        <v>93.45</v>
      </c>
    </row>
    <row r="29" spans="1:6">
      <c r="A29" s="624"/>
      <c r="B29" s="625"/>
      <c r="C29" s="625"/>
      <c r="D29" s="625"/>
      <c r="E29" s="625"/>
      <c r="F29" s="625"/>
    </row>
  </sheetData>
  <mergeCells count="3">
    <mergeCell ref="A1:G1"/>
    <mergeCell ref="F2:G2"/>
    <mergeCell ref="A29:F29"/>
  </mergeCells>
  <pageMargins left="0.708661417322835" right="0.708661417322835" top="0.748031496062992" bottom="0.748031496062992" header="0.31496062992126" footer="0.31496062992126"/>
  <pageSetup paperSize="9" scale="82" fitToHeight="6" orientation="portrait" blackAndWhite="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9"/>
  <sheetViews>
    <sheetView showZeros="0" zoomScaleSheetLayoutView="60" workbookViewId="0">
      <pane xSplit="2" ySplit="4" topLeftCell="C5" activePane="bottomRight" state="frozen"/>
      <selection/>
      <selection pane="topRight"/>
      <selection pane="bottomLeft"/>
      <selection pane="bottomRight" activeCell="N16" sqref="N16"/>
    </sheetView>
  </sheetViews>
  <sheetFormatPr defaultColWidth="9" defaultRowHeight="21" customHeight="1"/>
  <cols>
    <col min="1" max="1" width="9" style="140"/>
    <col min="2" max="2" width="36.375" style="140" customWidth="1"/>
    <col min="3" max="3" width="12.25" style="140" customWidth="1"/>
    <col min="4" max="5" width="10.875" style="140" customWidth="1"/>
    <col min="6" max="6" width="11.875" style="140" customWidth="1"/>
    <col min="7" max="7" width="10.125" style="140" customWidth="1"/>
    <col min="8" max="8" width="11.5" style="140" customWidth="1"/>
    <col min="9" max="9" width="11.625" style="140" customWidth="1"/>
    <col min="10" max="10" width="12.25" style="140" customWidth="1"/>
    <col min="11" max="11" width="9" style="140" customWidth="1"/>
    <col min="12" max="12" width="11.875" style="140" customWidth="1"/>
    <col min="13" max="13" width="9" style="178" customWidth="1"/>
    <col min="14" max="17" width="9" style="140" customWidth="1"/>
    <col min="18" max="16384" width="9" style="140"/>
  </cols>
  <sheetData>
    <row r="1" s="140" customFormat="1" customHeight="1" spans="1:13">
      <c r="A1" s="698" t="s">
        <v>4650</v>
      </c>
      <c r="B1" s="120"/>
      <c r="C1" s="120"/>
      <c r="D1" s="120"/>
      <c r="E1" s="120"/>
      <c r="F1" s="120"/>
      <c r="G1" s="120"/>
      <c r="H1" s="120"/>
      <c r="I1" s="120"/>
      <c r="J1" s="120"/>
      <c r="M1" s="178"/>
    </row>
    <row r="2" s="140" customFormat="1" customHeight="1" spans="2:13">
      <c r="B2" s="143"/>
      <c r="J2" s="202" t="s">
        <v>4533</v>
      </c>
      <c r="M2" s="178"/>
    </row>
    <row r="3" s="175" customFormat="1" customHeight="1" spans="1:10">
      <c r="A3" s="179" t="s">
        <v>3549</v>
      </c>
      <c r="B3" s="180" t="s">
        <v>4651</v>
      </c>
      <c r="C3" s="180" t="s">
        <v>4652</v>
      </c>
      <c r="D3" s="699" t="s">
        <v>4653</v>
      </c>
      <c r="E3" s="197" t="s">
        <v>4654</v>
      </c>
      <c r="F3" s="181" t="s">
        <v>4655</v>
      </c>
      <c r="G3" s="198" t="s">
        <v>4656</v>
      </c>
      <c r="H3" s="699" t="s">
        <v>4657</v>
      </c>
      <c r="I3" s="180" t="s">
        <v>4658</v>
      </c>
      <c r="J3" s="700" t="s">
        <v>4659</v>
      </c>
    </row>
    <row r="4" s="175" customFormat="1" customHeight="1" spans="1:10">
      <c r="A4" s="182"/>
      <c r="B4" s="180"/>
      <c r="C4" s="180"/>
      <c r="D4" s="183"/>
      <c r="E4" s="180"/>
      <c r="F4" s="183"/>
      <c r="G4" s="198"/>
      <c r="H4" s="183"/>
      <c r="I4" s="180"/>
      <c r="J4" s="180"/>
    </row>
    <row r="5" s="175" customFormat="1" customHeight="1" spans="1:10">
      <c r="A5" s="184" t="s">
        <v>505</v>
      </c>
      <c r="B5" s="185" t="s">
        <v>4660</v>
      </c>
      <c r="C5" s="186">
        <f t="shared" ref="C5:J5" si="0">SUM(C6:C34)</f>
        <v>26275</v>
      </c>
      <c r="D5" s="186">
        <f t="shared" si="0"/>
        <v>17961</v>
      </c>
      <c r="E5" s="186">
        <f t="shared" si="0"/>
        <v>79</v>
      </c>
      <c r="F5" s="186">
        <f t="shared" si="0"/>
        <v>735</v>
      </c>
      <c r="G5" s="186">
        <f t="shared" si="0"/>
        <v>0</v>
      </c>
      <c r="H5" s="186">
        <f t="shared" si="0"/>
        <v>7115</v>
      </c>
      <c r="I5" s="186">
        <f t="shared" si="0"/>
        <v>0</v>
      </c>
      <c r="J5" s="186">
        <f t="shared" si="0"/>
        <v>385</v>
      </c>
    </row>
    <row r="6" s="176" customFormat="1" customHeight="1" spans="1:10">
      <c r="A6" s="187" t="s">
        <v>507</v>
      </c>
      <c r="B6" s="188" t="s">
        <v>4661</v>
      </c>
      <c r="C6" s="189">
        <f t="shared" ref="C6:C34" si="1">SUM(D6:J6)</f>
        <v>787</v>
      </c>
      <c r="D6" s="189">
        <v>731</v>
      </c>
      <c r="E6" s="189"/>
      <c r="F6" s="199">
        <v>20</v>
      </c>
      <c r="G6" s="189"/>
      <c r="H6" s="189">
        <v>6</v>
      </c>
      <c r="I6" s="189"/>
      <c r="J6" s="189">
        <v>30</v>
      </c>
    </row>
    <row r="7" s="176" customFormat="1" customHeight="1" spans="1:10">
      <c r="A7" s="187" t="s">
        <v>508</v>
      </c>
      <c r="B7" s="188" t="s">
        <v>4662</v>
      </c>
      <c r="C7" s="189">
        <f t="shared" si="1"/>
        <v>342</v>
      </c>
      <c r="D7" s="189">
        <v>342</v>
      </c>
      <c r="E7" s="189"/>
      <c r="F7" s="199">
        <v>0</v>
      </c>
      <c r="G7" s="189"/>
      <c r="H7" s="189">
        <v>0</v>
      </c>
      <c r="I7" s="189"/>
      <c r="J7" s="189"/>
    </row>
    <row r="8" s="176" customFormat="1" customHeight="1" spans="1:10">
      <c r="A8" s="187" t="s">
        <v>509</v>
      </c>
      <c r="B8" s="188" t="s">
        <v>4663</v>
      </c>
      <c r="C8" s="189">
        <f t="shared" si="1"/>
        <v>10212</v>
      </c>
      <c r="D8" s="189">
        <v>7012</v>
      </c>
      <c r="E8" s="189"/>
      <c r="F8" s="199">
        <v>0</v>
      </c>
      <c r="G8" s="189"/>
      <c r="H8" s="189">
        <v>3200</v>
      </c>
      <c r="I8" s="189"/>
      <c r="J8" s="189"/>
    </row>
    <row r="9" s="176" customFormat="1" customHeight="1" spans="1:10">
      <c r="A9" s="187" t="s">
        <v>510</v>
      </c>
      <c r="B9" s="188" t="s">
        <v>4664</v>
      </c>
      <c r="C9" s="189">
        <f t="shared" si="1"/>
        <v>479</v>
      </c>
      <c r="D9" s="189">
        <v>427</v>
      </c>
      <c r="E9" s="189"/>
      <c r="F9" s="200">
        <v>52</v>
      </c>
      <c r="G9" s="189"/>
      <c r="H9" s="189">
        <v>0</v>
      </c>
      <c r="I9" s="189"/>
      <c r="J9" s="189"/>
    </row>
    <row r="10" s="176" customFormat="1" customHeight="1" spans="1:10">
      <c r="A10" s="187" t="s">
        <v>511</v>
      </c>
      <c r="B10" s="190" t="s">
        <v>4665</v>
      </c>
      <c r="C10" s="189">
        <f t="shared" si="1"/>
        <v>405</v>
      </c>
      <c r="D10" s="189">
        <v>361</v>
      </c>
      <c r="E10" s="189"/>
      <c r="F10" s="199">
        <v>29</v>
      </c>
      <c r="G10" s="189"/>
      <c r="H10" s="189">
        <v>0</v>
      </c>
      <c r="I10" s="189"/>
      <c r="J10" s="189">
        <v>15</v>
      </c>
    </row>
    <row r="11" s="176" customFormat="1" customHeight="1" spans="1:10">
      <c r="A11" s="187" t="s">
        <v>512</v>
      </c>
      <c r="B11" s="188" t="s">
        <v>4666</v>
      </c>
      <c r="C11" s="189">
        <f t="shared" si="1"/>
        <v>849</v>
      </c>
      <c r="D11" s="189">
        <v>849</v>
      </c>
      <c r="E11" s="189"/>
      <c r="F11" s="199">
        <v>0</v>
      </c>
      <c r="G11" s="189"/>
      <c r="H11" s="189">
        <v>0</v>
      </c>
      <c r="I11" s="189"/>
      <c r="J11" s="189"/>
    </row>
    <row r="12" s="176" customFormat="1" customHeight="1" spans="1:10">
      <c r="A12" s="187" t="s">
        <v>513</v>
      </c>
      <c r="B12" s="188" t="s">
        <v>4667</v>
      </c>
      <c r="C12" s="189">
        <f t="shared" si="1"/>
        <v>308</v>
      </c>
      <c r="D12" s="189">
        <v>308</v>
      </c>
      <c r="E12" s="189"/>
      <c r="F12" s="201">
        <v>0</v>
      </c>
      <c r="G12" s="189"/>
      <c r="H12" s="189">
        <v>0</v>
      </c>
      <c r="I12" s="189"/>
      <c r="J12" s="189"/>
    </row>
    <row r="13" s="176" customFormat="1" customHeight="1" spans="1:10">
      <c r="A13" s="187" t="s">
        <v>514</v>
      </c>
      <c r="B13" s="190" t="s">
        <v>4668</v>
      </c>
      <c r="C13" s="189">
        <f t="shared" si="1"/>
        <v>208</v>
      </c>
      <c r="D13" s="189">
        <v>203</v>
      </c>
      <c r="E13" s="189"/>
      <c r="F13" s="201">
        <v>0</v>
      </c>
      <c r="G13" s="189"/>
      <c r="H13" s="189">
        <v>2</v>
      </c>
      <c r="I13" s="189"/>
      <c r="J13" s="189">
        <v>3</v>
      </c>
    </row>
    <row r="14" s="176" customFormat="1" customHeight="1" spans="1:10">
      <c r="A14" s="187" t="s">
        <v>515</v>
      </c>
      <c r="B14" s="188" t="s">
        <v>4669</v>
      </c>
      <c r="C14" s="189">
        <f t="shared" si="1"/>
        <v>0</v>
      </c>
      <c r="D14" s="189">
        <v>0</v>
      </c>
      <c r="E14" s="189"/>
      <c r="F14" s="201">
        <v>0</v>
      </c>
      <c r="G14" s="189"/>
      <c r="H14" s="189">
        <v>0</v>
      </c>
      <c r="I14" s="189"/>
      <c r="J14" s="189"/>
    </row>
    <row r="15" s="176" customFormat="1" customHeight="1" spans="1:10">
      <c r="A15" s="187" t="s">
        <v>516</v>
      </c>
      <c r="B15" s="191" t="s">
        <v>4670</v>
      </c>
      <c r="C15" s="189">
        <f t="shared" si="1"/>
        <v>1660</v>
      </c>
      <c r="D15" s="189">
        <v>997</v>
      </c>
      <c r="E15" s="189"/>
      <c r="F15" s="201">
        <v>47</v>
      </c>
      <c r="G15" s="189"/>
      <c r="H15" s="189">
        <v>586</v>
      </c>
      <c r="I15" s="189"/>
      <c r="J15" s="189">
        <v>30</v>
      </c>
    </row>
    <row r="16" s="176" customFormat="1" customHeight="1" spans="1:10">
      <c r="A16" s="187" t="s">
        <v>517</v>
      </c>
      <c r="B16" s="191" t="s">
        <v>4671</v>
      </c>
      <c r="C16" s="189">
        <f t="shared" si="1"/>
        <v>148</v>
      </c>
      <c r="D16" s="189">
        <v>148</v>
      </c>
      <c r="E16" s="189"/>
      <c r="F16" s="201">
        <v>0</v>
      </c>
      <c r="G16" s="189"/>
      <c r="H16" s="189">
        <v>0</v>
      </c>
      <c r="I16" s="189"/>
      <c r="J16" s="189"/>
    </row>
    <row r="17" s="176" customFormat="1" customHeight="1" spans="1:10">
      <c r="A17" s="187" t="s">
        <v>518</v>
      </c>
      <c r="B17" s="190" t="s">
        <v>4672</v>
      </c>
      <c r="C17" s="189">
        <f t="shared" si="1"/>
        <v>0</v>
      </c>
      <c r="D17" s="189">
        <v>0</v>
      </c>
      <c r="E17" s="189"/>
      <c r="F17" s="201">
        <v>0</v>
      </c>
      <c r="G17" s="189"/>
      <c r="H17" s="189">
        <v>0</v>
      </c>
      <c r="I17" s="189"/>
      <c r="J17" s="189"/>
    </row>
    <row r="18" s="176" customFormat="1" customHeight="1" spans="1:10">
      <c r="A18" s="187" t="s">
        <v>519</v>
      </c>
      <c r="B18" s="188" t="s">
        <v>4673</v>
      </c>
      <c r="C18" s="189">
        <f t="shared" si="1"/>
        <v>221</v>
      </c>
      <c r="D18" s="189">
        <v>31</v>
      </c>
      <c r="E18" s="189"/>
      <c r="F18" s="201">
        <v>30</v>
      </c>
      <c r="G18" s="189"/>
      <c r="H18" s="189">
        <v>0</v>
      </c>
      <c r="I18" s="189"/>
      <c r="J18" s="189">
        <v>160</v>
      </c>
    </row>
    <row r="19" s="176" customFormat="1" customHeight="1" spans="1:10">
      <c r="A19" s="187" t="s">
        <v>520</v>
      </c>
      <c r="B19" s="188" t="s">
        <v>4674</v>
      </c>
      <c r="C19" s="189">
        <f t="shared" si="1"/>
        <v>0</v>
      </c>
      <c r="D19" s="189">
        <v>0</v>
      </c>
      <c r="E19" s="189"/>
      <c r="F19" s="201">
        <v>0</v>
      </c>
      <c r="G19" s="189"/>
      <c r="H19" s="189">
        <v>0</v>
      </c>
      <c r="I19" s="189"/>
      <c r="J19" s="189"/>
    </row>
    <row r="20" s="176" customFormat="1" customHeight="1" spans="1:10">
      <c r="A20" s="187" t="s">
        <v>521</v>
      </c>
      <c r="B20" s="190" t="s">
        <v>4675</v>
      </c>
      <c r="C20" s="189">
        <f t="shared" si="1"/>
        <v>98</v>
      </c>
      <c r="D20" s="189">
        <v>98</v>
      </c>
      <c r="E20" s="189"/>
      <c r="F20" s="201">
        <v>0</v>
      </c>
      <c r="G20" s="189"/>
      <c r="H20" s="189">
        <v>0</v>
      </c>
      <c r="I20" s="189"/>
      <c r="J20" s="189"/>
    </row>
    <row r="21" s="176" customFormat="1" customHeight="1" spans="1:10">
      <c r="A21" s="187" t="s">
        <v>522</v>
      </c>
      <c r="B21" s="190" t="s">
        <v>4676</v>
      </c>
      <c r="C21" s="189">
        <f t="shared" si="1"/>
        <v>44</v>
      </c>
      <c r="D21" s="189">
        <v>44</v>
      </c>
      <c r="E21" s="189"/>
      <c r="F21" s="201">
        <v>0</v>
      </c>
      <c r="G21" s="189"/>
      <c r="H21" s="189">
        <v>0</v>
      </c>
      <c r="I21" s="189"/>
      <c r="J21" s="189"/>
    </row>
    <row r="22" s="176" customFormat="1" customHeight="1" spans="1:10">
      <c r="A22" s="187" t="s">
        <v>523</v>
      </c>
      <c r="B22" s="190" t="s">
        <v>4677</v>
      </c>
      <c r="C22" s="189">
        <f t="shared" si="1"/>
        <v>486</v>
      </c>
      <c r="D22" s="189">
        <v>169</v>
      </c>
      <c r="E22" s="189">
        <v>22</v>
      </c>
      <c r="F22" s="201">
        <v>8</v>
      </c>
      <c r="G22" s="189"/>
      <c r="H22" s="189">
        <v>170</v>
      </c>
      <c r="I22" s="189"/>
      <c r="J22" s="189">
        <v>117</v>
      </c>
    </row>
    <row r="23" s="176" customFormat="1" customHeight="1" spans="1:10">
      <c r="A23" s="187" t="s">
        <v>524</v>
      </c>
      <c r="B23" s="190" t="s">
        <v>4678</v>
      </c>
      <c r="C23" s="189">
        <f t="shared" si="1"/>
        <v>576</v>
      </c>
      <c r="D23" s="189">
        <v>576</v>
      </c>
      <c r="E23" s="189"/>
      <c r="F23" s="201">
        <v>0</v>
      </c>
      <c r="G23" s="189"/>
      <c r="H23" s="189">
        <v>0</v>
      </c>
      <c r="I23" s="189"/>
      <c r="J23" s="189"/>
    </row>
    <row r="24" s="176" customFormat="1" customHeight="1" spans="1:10">
      <c r="A24" s="187" t="s">
        <v>525</v>
      </c>
      <c r="B24" s="190" t="s">
        <v>4679</v>
      </c>
      <c r="C24" s="189">
        <f t="shared" si="1"/>
        <v>1548</v>
      </c>
      <c r="D24" s="189">
        <v>576</v>
      </c>
      <c r="E24" s="189">
        <v>47</v>
      </c>
      <c r="F24" s="201">
        <v>506</v>
      </c>
      <c r="G24" s="189"/>
      <c r="H24" s="189">
        <v>419</v>
      </c>
      <c r="I24" s="189"/>
      <c r="J24" s="189"/>
    </row>
    <row r="25" s="176" customFormat="1" customHeight="1" spans="1:10">
      <c r="A25" s="187" t="s">
        <v>526</v>
      </c>
      <c r="B25" s="190" t="s">
        <v>4680</v>
      </c>
      <c r="C25" s="189">
        <f t="shared" si="1"/>
        <v>201</v>
      </c>
      <c r="D25" s="189">
        <v>201</v>
      </c>
      <c r="E25" s="189"/>
      <c r="F25" s="201">
        <v>0</v>
      </c>
      <c r="G25" s="189"/>
      <c r="H25" s="189">
        <v>0</v>
      </c>
      <c r="I25" s="189"/>
      <c r="J25" s="189"/>
    </row>
    <row r="26" s="176" customFormat="1" customHeight="1" spans="1:10">
      <c r="A26" s="187" t="s">
        <v>527</v>
      </c>
      <c r="B26" s="190" t="s">
        <v>4681</v>
      </c>
      <c r="C26" s="189">
        <f t="shared" si="1"/>
        <v>187</v>
      </c>
      <c r="D26" s="189">
        <v>187</v>
      </c>
      <c r="E26" s="189"/>
      <c r="F26" s="201">
        <v>0</v>
      </c>
      <c r="G26" s="189"/>
      <c r="H26" s="189">
        <v>0</v>
      </c>
      <c r="I26" s="189"/>
      <c r="J26" s="189"/>
    </row>
    <row r="27" s="176" customFormat="1" customHeight="1" spans="1:10">
      <c r="A27" s="187" t="s">
        <v>528</v>
      </c>
      <c r="B27" s="192" t="s">
        <v>4682</v>
      </c>
      <c r="C27" s="189">
        <f t="shared" si="1"/>
        <v>0</v>
      </c>
      <c r="D27" s="189">
        <v>0</v>
      </c>
      <c r="E27" s="189"/>
      <c r="F27" s="201">
        <v>0</v>
      </c>
      <c r="G27" s="189"/>
      <c r="H27" s="189">
        <v>0</v>
      </c>
      <c r="I27" s="189"/>
      <c r="J27" s="189"/>
    </row>
    <row r="28" s="176" customFormat="1" customHeight="1" spans="1:10">
      <c r="A28" s="187" t="s">
        <v>529</v>
      </c>
      <c r="B28" s="192" t="s">
        <v>4683</v>
      </c>
      <c r="C28" s="189">
        <f t="shared" si="1"/>
        <v>473</v>
      </c>
      <c r="D28" s="189">
        <v>473</v>
      </c>
      <c r="E28" s="189"/>
      <c r="F28" s="201">
        <v>0</v>
      </c>
      <c r="G28" s="189"/>
      <c r="H28" s="189">
        <v>0</v>
      </c>
      <c r="I28" s="189"/>
      <c r="J28" s="189"/>
    </row>
    <row r="29" s="176" customFormat="1" customHeight="1" spans="1:10">
      <c r="A29" s="187" t="s">
        <v>530</v>
      </c>
      <c r="B29" s="192" t="s">
        <v>4684</v>
      </c>
      <c r="C29" s="189">
        <f t="shared" si="1"/>
        <v>0</v>
      </c>
      <c r="D29" s="189">
        <v>0</v>
      </c>
      <c r="E29" s="189"/>
      <c r="F29" s="201">
        <v>0</v>
      </c>
      <c r="G29" s="189"/>
      <c r="H29" s="189">
        <v>0</v>
      </c>
      <c r="I29" s="189"/>
      <c r="J29" s="189"/>
    </row>
    <row r="30" s="176" customFormat="1" customHeight="1" spans="1:10">
      <c r="A30" s="187" t="s">
        <v>531</v>
      </c>
      <c r="B30" s="192" t="s">
        <v>4685</v>
      </c>
      <c r="C30" s="189">
        <f t="shared" si="1"/>
        <v>1447</v>
      </c>
      <c r="D30" s="189">
        <v>1356</v>
      </c>
      <c r="E30" s="189">
        <v>5</v>
      </c>
      <c r="F30" s="201">
        <v>38</v>
      </c>
      <c r="G30" s="189"/>
      <c r="H30" s="189">
        <v>18</v>
      </c>
      <c r="I30" s="189"/>
      <c r="J30" s="189">
        <v>30</v>
      </c>
    </row>
    <row r="31" s="176" customFormat="1" customHeight="1" spans="1:10">
      <c r="A31" s="187" t="s">
        <v>532</v>
      </c>
      <c r="B31" s="192" t="s">
        <v>4686</v>
      </c>
      <c r="C31" s="189">
        <f t="shared" si="1"/>
        <v>216</v>
      </c>
      <c r="D31" s="189">
        <v>201</v>
      </c>
      <c r="E31" s="189">
        <v>5</v>
      </c>
      <c r="F31" s="201">
        <v>5</v>
      </c>
      <c r="G31" s="189"/>
      <c r="H31" s="189">
        <v>5</v>
      </c>
      <c r="I31" s="189"/>
      <c r="J31" s="189"/>
    </row>
    <row r="32" s="176" customFormat="1" customHeight="1" spans="1:10">
      <c r="A32" s="187" t="s">
        <v>533</v>
      </c>
      <c r="B32" s="192" t="s">
        <v>4687</v>
      </c>
      <c r="C32" s="189">
        <f t="shared" si="1"/>
        <v>171</v>
      </c>
      <c r="D32" s="189">
        <v>171</v>
      </c>
      <c r="E32" s="189"/>
      <c r="F32" s="201">
        <v>0</v>
      </c>
      <c r="G32" s="189"/>
      <c r="H32" s="189">
        <v>0</v>
      </c>
      <c r="I32" s="189"/>
      <c r="J32" s="189"/>
    </row>
    <row r="33" s="176" customFormat="1" customHeight="1" spans="1:10">
      <c r="A33" s="187" t="s">
        <v>534</v>
      </c>
      <c r="B33" s="192" t="s">
        <v>4688</v>
      </c>
      <c r="C33" s="189">
        <f t="shared" si="1"/>
        <v>0</v>
      </c>
      <c r="D33" s="189">
        <v>0</v>
      </c>
      <c r="E33" s="189"/>
      <c r="F33" s="201">
        <v>0</v>
      </c>
      <c r="G33" s="189"/>
      <c r="H33" s="189">
        <v>0</v>
      </c>
      <c r="I33" s="189"/>
      <c r="J33" s="189"/>
    </row>
    <row r="34" s="176" customFormat="1" customHeight="1" spans="1:10">
      <c r="A34" s="187" t="s">
        <v>535</v>
      </c>
      <c r="B34" s="192" t="s">
        <v>4689</v>
      </c>
      <c r="C34" s="189">
        <f t="shared" si="1"/>
        <v>5209</v>
      </c>
      <c r="D34" s="189">
        <v>2500</v>
      </c>
      <c r="E34" s="189"/>
      <c r="F34" s="201">
        <v>0</v>
      </c>
      <c r="G34" s="189"/>
      <c r="H34" s="189">
        <v>2709</v>
      </c>
      <c r="I34" s="189"/>
      <c r="J34" s="189"/>
    </row>
    <row r="35" s="175" customFormat="1" customHeight="1" spans="1:10">
      <c r="A35" s="184" t="s">
        <v>536</v>
      </c>
      <c r="B35" s="185" t="s">
        <v>4690</v>
      </c>
      <c r="C35" s="186">
        <f t="shared" ref="C35:J35" si="2">SUM(C36:C44)</f>
        <v>0</v>
      </c>
      <c r="D35" s="186">
        <f t="shared" si="2"/>
        <v>0</v>
      </c>
      <c r="E35" s="186">
        <f t="shared" si="2"/>
        <v>0</v>
      </c>
      <c r="F35" s="186">
        <f t="shared" si="2"/>
        <v>0</v>
      </c>
      <c r="G35" s="186">
        <f t="shared" si="2"/>
        <v>0</v>
      </c>
      <c r="H35" s="186">
        <f t="shared" si="2"/>
        <v>0</v>
      </c>
      <c r="I35" s="186">
        <f t="shared" si="2"/>
        <v>0</v>
      </c>
      <c r="J35" s="186">
        <f t="shared" si="2"/>
        <v>0</v>
      </c>
    </row>
    <row r="36" s="176" customFormat="1" customHeight="1" spans="1:10">
      <c r="A36" s="187" t="s">
        <v>538</v>
      </c>
      <c r="B36" s="193" t="s">
        <v>4691</v>
      </c>
      <c r="C36" s="189">
        <f t="shared" ref="C36:C44" si="3">SUM(D36:J36)</f>
        <v>0</v>
      </c>
      <c r="D36" s="189">
        <v>0</v>
      </c>
      <c r="E36" s="189"/>
      <c r="F36" s="189">
        <v>0</v>
      </c>
      <c r="G36" s="189"/>
      <c r="H36" s="189"/>
      <c r="I36" s="189"/>
      <c r="J36" s="189"/>
    </row>
    <row r="37" s="176" customFormat="1" customHeight="1" spans="1:10">
      <c r="A37" s="187" t="s">
        <v>539</v>
      </c>
      <c r="B37" s="193" t="s">
        <v>4692</v>
      </c>
      <c r="C37" s="189">
        <f t="shared" si="3"/>
        <v>0</v>
      </c>
      <c r="D37" s="189"/>
      <c r="E37" s="189"/>
      <c r="F37" s="189"/>
      <c r="G37" s="189"/>
      <c r="H37" s="189"/>
      <c r="I37" s="189"/>
      <c r="J37" s="189"/>
    </row>
    <row r="38" s="176" customFormat="1" customHeight="1" spans="1:10">
      <c r="A38" s="187" t="s">
        <v>540</v>
      </c>
      <c r="B38" s="193" t="s">
        <v>4693</v>
      </c>
      <c r="C38" s="189">
        <f t="shared" si="3"/>
        <v>0</v>
      </c>
      <c r="D38" s="189"/>
      <c r="E38" s="189"/>
      <c r="F38" s="189"/>
      <c r="G38" s="189"/>
      <c r="H38" s="189"/>
      <c r="I38" s="189"/>
      <c r="J38" s="189"/>
    </row>
    <row r="39" s="176" customFormat="1" customHeight="1" spans="1:10">
      <c r="A39" s="187" t="s">
        <v>541</v>
      </c>
      <c r="B39" s="194" t="s">
        <v>4694</v>
      </c>
      <c r="C39" s="189">
        <f t="shared" si="3"/>
        <v>0</v>
      </c>
      <c r="D39" s="189"/>
      <c r="E39" s="189"/>
      <c r="F39" s="189"/>
      <c r="G39" s="189"/>
      <c r="H39" s="189"/>
      <c r="I39" s="189"/>
      <c r="J39" s="189"/>
    </row>
    <row r="40" s="176" customFormat="1" customHeight="1" spans="1:10">
      <c r="A40" s="187" t="s">
        <v>542</v>
      </c>
      <c r="B40" s="194" t="s">
        <v>4695</v>
      </c>
      <c r="C40" s="189">
        <f t="shared" si="3"/>
        <v>0</v>
      </c>
      <c r="D40" s="189"/>
      <c r="E40" s="189"/>
      <c r="F40" s="189"/>
      <c r="G40" s="189"/>
      <c r="H40" s="189"/>
      <c r="I40" s="189"/>
      <c r="J40" s="189"/>
    </row>
    <row r="41" s="176" customFormat="1" customHeight="1" spans="1:10">
      <c r="A41" s="187" t="s">
        <v>543</v>
      </c>
      <c r="B41" s="194" t="s">
        <v>4696</v>
      </c>
      <c r="C41" s="189">
        <f t="shared" si="3"/>
        <v>0</v>
      </c>
      <c r="D41" s="189"/>
      <c r="E41" s="189"/>
      <c r="F41" s="189"/>
      <c r="G41" s="189"/>
      <c r="H41" s="189"/>
      <c r="I41" s="189"/>
      <c r="J41" s="189"/>
    </row>
    <row r="42" s="176" customFormat="1" customHeight="1" spans="1:10">
      <c r="A42" s="187" t="s">
        <v>544</v>
      </c>
      <c r="B42" s="194" t="s">
        <v>4697</v>
      </c>
      <c r="C42" s="189">
        <f t="shared" si="3"/>
        <v>0</v>
      </c>
      <c r="D42" s="189"/>
      <c r="E42" s="189"/>
      <c r="F42" s="189"/>
      <c r="G42" s="189"/>
      <c r="H42" s="189"/>
      <c r="I42" s="189"/>
      <c r="J42" s="189"/>
    </row>
    <row r="43" s="176" customFormat="1" customHeight="1" spans="1:10">
      <c r="A43" s="187" t="s">
        <v>545</v>
      </c>
      <c r="B43" s="194" t="s">
        <v>4698</v>
      </c>
      <c r="C43" s="189">
        <f t="shared" si="3"/>
        <v>0</v>
      </c>
      <c r="D43" s="189"/>
      <c r="E43" s="189"/>
      <c r="F43" s="189"/>
      <c r="G43" s="189"/>
      <c r="H43" s="189"/>
      <c r="I43" s="189"/>
      <c r="J43" s="189"/>
    </row>
    <row r="44" s="176" customFormat="1" customHeight="1" spans="1:10">
      <c r="A44" s="187" t="s">
        <v>546</v>
      </c>
      <c r="B44" s="193" t="s">
        <v>4699</v>
      </c>
      <c r="C44" s="189">
        <f t="shared" si="3"/>
        <v>0</v>
      </c>
      <c r="D44" s="189">
        <v>0</v>
      </c>
      <c r="E44" s="189"/>
      <c r="F44" s="189">
        <v>0</v>
      </c>
      <c r="G44" s="189"/>
      <c r="H44" s="189"/>
      <c r="I44" s="189"/>
      <c r="J44" s="189"/>
    </row>
    <row r="45" s="175" customFormat="1" customHeight="1" spans="1:10">
      <c r="A45" s="184" t="s">
        <v>547</v>
      </c>
      <c r="B45" s="185" t="s">
        <v>4700</v>
      </c>
      <c r="C45" s="186">
        <f t="shared" ref="C45:J45" si="4">SUM(C46:C50)</f>
        <v>109</v>
      </c>
      <c r="D45" s="186">
        <f t="shared" si="4"/>
        <v>20</v>
      </c>
      <c r="E45" s="186">
        <f t="shared" si="4"/>
        <v>0</v>
      </c>
      <c r="F45" s="186">
        <f t="shared" si="4"/>
        <v>23</v>
      </c>
      <c r="G45" s="186">
        <f t="shared" si="4"/>
        <v>0</v>
      </c>
      <c r="H45" s="186">
        <f t="shared" si="4"/>
        <v>0</v>
      </c>
      <c r="I45" s="186">
        <f t="shared" si="4"/>
        <v>0</v>
      </c>
      <c r="J45" s="186">
        <f t="shared" si="4"/>
        <v>66</v>
      </c>
    </row>
    <row r="46" s="176" customFormat="1" customHeight="1" spans="1:10">
      <c r="A46" s="187" t="s">
        <v>549</v>
      </c>
      <c r="B46" s="194" t="s">
        <v>4701</v>
      </c>
      <c r="C46" s="189">
        <f t="shared" ref="C46:C50" si="5">SUM(D46:J46)</f>
        <v>0</v>
      </c>
      <c r="D46" s="189"/>
      <c r="E46" s="189"/>
      <c r="F46" s="189">
        <v>0</v>
      </c>
      <c r="G46" s="189"/>
      <c r="H46" s="189"/>
      <c r="I46" s="189"/>
      <c r="J46" s="189"/>
    </row>
    <row r="47" s="176" customFormat="1" customHeight="1" spans="1:10">
      <c r="A47" s="187" t="s">
        <v>550</v>
      </c>
      <c r="B47" s="194" t="s">
        <v>4702</v>
      </c>
      <c r="C47" s="189">
        <f t="shared" si="5"/>
        <v>0</v>
      </c>
      <c r="D47" s="189"/>
      <c r="E47" s="189"/>
      <c r="F47" s="189"/>
      <c r="G47" s="189"/>
      <c r="H47" s="189"/>
      <c r="I47" s="189"/>
      <c r="J47" s="189"/>
    </row>
    <row r="48" s="176" customFormat="1" customHeight="1" spans="1:10">
      <c r="A48" s="187" t="s">
        <v>551</v>
      </c>
      <c r="B48" s="194" t="s">
        <v>4703</v>
      </c>
      <c r="C48" s="189">
        <f t="shared" si="5"/>
        <v>0</v>
      </c>
      <c r="D48" s="189"/>
      <c r="E48" s="189"/>
      <c r="F48" s="189"/>
      <c r="G48" s="189"/>
      <c r="H48" s="189"/>
      <c r="I48" s="189"/>
      <c r="J48" s="189"/>
    </row>
    <row r="49" s="176" customFormat="1" customHeight="1" spans="1:10">
      <c r="A49" s="187" t="s">
        <v>552</v>
      </c>
      <c r="B49" s="194" t="s">
        <v>4704</v>
      </c>
      <c r="C49" s="189">
        <f t="shared" si="5"/>
        <v>109</v>
      </c>
      <c r="D49" s="189">
        <v>20</v>
      </c>
      <c r="E49" s="189"/>
      <c r="F49" s="189">
        <v>23</v>
      </c>
      <c r="G49" s="189"/>
      <c r="H49" s="189"/>
      <c r="I49" s="189"/>
      <c r="J49" s="189">
        <v>66</v>
      </c>
    </row>
    <row r="50" s="176" customFormat="1" customHeight="1" spans="1:10">
      <c r="A50" s="187" t="s">
        <v>553</v>
      </c>
      <c r="B50" s="194" t="s">
        <v>4705</v>
      </c>
      <c r="C50" s="189">
        <f t="shared" si="5"/>
        <v>0</v>
      </c>
      <c r="D50" s="189">
        <v>0</v>
      </c>
      <c r="E50" s="189"/>
      <c r="F50" s="189"/>
      <c r="G50" s="189"/>
      <c r="H50" s="189"/>
      <c r="I50" s="189"/>
      <c r="J50" s="189"/>
    </row>
    <row r="51" s="175" customFormat="1" customHeight="1" spans="1:10">
      <c r="A51" s="184" t="s">
        <v>554</v>
      </c>
      <c r="B51" s="185" t="s">
        <v>4706</v>
      </c>
      <c r="C51" s="186">
        <f t="shared" ref="C51:J51" si="6">SUM(C52:C62)</f>
        <v>8962</v>
      </c>
      <c r="D51" s="186">
        <f t="shared" si="6"/>
        <v>6706</v>
      </c>
      <c r="E51" s="186">
        <f t="shared" si="6"/>
        <v>0</v>
      </c>
      <c r="F51" s="186">
        <f t="shared" si="6"/>
        <v>124</v>
      </c>
      <c r="G51" s="186">
        <f t="shared" si="6"/>
        <v>0</v>
      </c>
      <c r="H51" s="186">
        <f t="shared" si="6"/>
        <v>932</v>
      </c>
      <c r="I51" s="186">
        <f t="shared" si="6"/>
        <v>0</v>
      </c>
      <c r="J51" s="186">
        <f t="shared" si="6"/>
        <v>1200</v>
      </c>
    </row>
    <row r="52" s="176" customFormat="1" customHeight="1" spans="1:10">
      <c r="A52" s="187" t="s">
        <v>556</v>
      </c>
      <c r="B52" s="195" t="s">
        <v>4707</v>
      </c>
      <c r="C52" s="189">
        <f t="shared" ref="C52:C62" si="7">SUM(D52:J52)</f>
        <v>12</v>
      </c>
      <c r="D52" s="189">
        <v>12</v>
      </c>
      <c r="E52" s="189"/>
      <c r="F52" s="189"/>
      <c r="G52" s="189">
        <v>0</v>
      </c>
      <c r="H52" s="189">
        <v>0</v>
      </c>
      <c r="I52" s="189"/>
      <c r="J52" s="189"/>
    </row>
    <row r="53" s="176" customFormat="1" customHeight="1" spans="1:10">
      <c r="A53" s="187" t="s">
        <v>558</v>
      </c>
      <c r="B53" s="192" t="s">
        <v>4708</v>
      </c>
      <c r="C53" s="189">
        <f t="shared" si="7"/>
        <v>6943</v>
      </c>
      <c r="D53" s="189">
        <v>5912</v>
      </c>
      <c r="E53" s="189"/>
      <c r="F53" s="189">
        <v>108</v>
      </c>
      <c r="G53" s="189"/>
      <c r="H53" s="189">
        <v>923</v>
      </c>
      <c r="I53" s="189"/>
      <c r="J53" s="189"/>
    </row>
    <row r="54" s="176" customFormat="1" customHeight="1" spans="1:10">
      <c r="A54" s="187" t="s">
        <v>560</v>
      </c>
      <c r="B54" s="195" t="s">
        <v>4709</v>
      </c>
      <c r="C54" s="189">
        <f t="shared" si="7"/>
        <v>1</v>
      </c>
      <c r="D54" s="189">
        <v>1</v>
      </c>
      <c r="E54" s="189"/>
      <c r="F54" s="189"/>
      <c r="G54" s="189">
        <v>0</v>
      </c>
      <c r="H54" s="189">
        <v>0</v>
      </c>
      <c r="I54" s="189"/>
      <c r="J54" s="189"/>
    </row>
    <row r="55" s="176" customFormat="1" customHeight="1" spans="1:10">
      <c r="A55" s="187" t="s">
        <v>562</v>
      </c>
      <c r="B55" s="195" t="s">
        <v>4710</v>
      </c>
      <c r="C55" s="189">
        <f t="shared" si="7"/>
        <v>0</v>
      </c>
      <c r="D55" s="189">
        <v>0</v>
      </c>
      <c r="E55" s="189"/>
      <c r="F55" s="189"/>
      <c r="G55" s="189">
        <v>0</v>
      </c>
      <c r="H55" s="189">
        <v>0</v>
      </c>
      <c r="I55" s="189"/>
      <c r="J55" s="189"/>
    </row>
    <row r="56" s="176" customFormat="1" customHeight="1" spans="1:10">
      <c r="A56" s="187" t="s">
        <v>564</v>
      </c>
      <c r="B56" s="196" t="s">
        <v>4711</v>
      </c>
      <c r="C56" s="189">
        <f t="shared" si="7"/>
        <v>0</v>
      </c>
      <c r="D56" s="189">
        <v>0</v>
      </c>
      <c r="E56" s="189"/>
      <c r="F56" s="189"/>
      <c r="G56" s="189">
        <v>0</v>
      </c>
      <c r="H56" s="189">
        <v>0</v>
      </c>
      <c r="I56" s="189"/>
      <c r="J56" s="189"/>
    </row>
    <row r="57" s="176" customFormat="1" customHeight="1" spans="1:10">
      <c r="A57" s="187" t="s">
        <v>566</v>
      </c>
      <c r="B57" s="195" t="s">
        <v>4712</v>
      </c>
      <c r="C57" s="189">
        <f t="shared" si="7"/>
        <v>827</v>
      </c>
      <c r="D57" s="189">
        <v>781</v>
      </c>
      <c r="E57" s="189"/>
      <c r="F57" s="189">
        <v>15</v>
      </c>
      <c r="G57" s="189"/>
      <c r="H57" s="189">
        <v>9</v>
      </c>
      <c r="I57" s="189"/>
      <c r="J57" s="189">
        <v>22</v>
      </c>
    </row>
    <row r="58" s="176" customFormat="1" customHeight="1" spans="1:10">
      <c r="A58" s="187" t="s">
        <v>568</v>
      </c>
      <c r="B58" s="195" t="s">
        <v>4713</v>
      </c>
      <c r="C58" s="189">
        <f t="shared" si="7"/>
        <v>0</v>
      </c>
      <c r="D58" s="189">
        <v>0</v>
      </c>
      <c r="E58" s="189"/>
      <c r="F58" s="189"/>
      <c r="G58" s="189">
        <v>0</v>
      </c>
      <c r="H58" s="189">
        <v>0</v>
      </c>
      <c r="I58" s="189"/>
      <c r="J58" s="189"/>
    </row>
    <row r="59" s="176" customFormat="1" customHeight="1" spans="1:10">
      <c r="A59" s="187" t="s">
        <v>570</v>
      </c>
      <c r="B59" s="192" t="s">
        <v>4714</v>
      </c>
      <c r="C59" s="189">
        <f t="shared" si="7"/>
        <v>0</v>
      </c>
      <c r="D59" s="189">
        <v>0</v>
      </c>
      <c r="E59" s="189"/>
      <c r="F59" s="189"/>
      <c r="G59" s="189">
        <v>0</v>
      </c>
      <c r="H59" s="189">
        <v>0</v>
      </c>
      <c r="I59" s="189"/>
      <c r="J59" s="189"/>
    </row>
    <row r="60" s="176" customFormat="1" customHeight="1" spans="1:10">
      <c r="A60" s="187" t="s">
        <v>572</v>
      </c>
      <c r="B60" s="196" t="s">
        <v>4715</v>
      </c>
      <c r="C60" s="189">
        <f t="shared" si="7"/>
        <v>0</v>
      </c>
      <c r="D60" s="189">
        <v>0</v>
      </c>
      <c r="E60" s="189"/>
      <c r="F60" s="189">
        <v>0</v>
      </c>
      <c r="G60" s="189">
        <v>0</v>
      </c>
      <c r="H60" s="189">
        <v>0</v>
      </c>
      <c r="I60" s="189"/>
      <c r="J60" s="189"/>
    </row>
    <row r="61" s="176" customFormat="1" customHeight="1" spans="1:10">
      <c r="A61" s="187" t="s">
        <v>574</v>
      </c>
      <c r="B61" s="195" t="s">
        <v>4716</v>
      </c>
      <c r="C61" s="189">
        <f t="shared" si="7"/>
        <v>0</v>
      </c>
      <c r="D61" s="189">
        <v>0</v>
      </c>
      <c r="E61" s="189"/>
      <c r="F61" s="189">
        <v>0</v>
      </c>
      <c r="G61" s="189">
        <v>0</v>
      </c>
      <c r="H61" s="189">
        <v>0</v>
      </c>
      <c r="I61" s="189"/>
      <c r="J61" s="189"/>
    </row>
    <row r="62" s="176" customFormat="1" customHeight="1" spans="1:10">
      <c r="A62" s="187" t="s">
        <v>576</v>
      </c>
      <c r="B62" s="195" t="s">
        <v>4717</v>
      </c>
      <c r="C62" s="189">
        <f t="shared" si="7"/>
        <v>1179</v>
      </c>
      <c r="D62" s="189">
        <v>0</v>
      </c>
      <c r="E62" s="189"/>
      <c r="F62" s="189">
        <v>1</v>
      </c>
      <c r="G62" s="189">
        <v>0</v>
      </c>
      <c r="H62" s="189">
        <v>0</v>
      </c>
      <c r="I62" s="189"/>
      <c r="J62" s="189">
        <v>1178</v>
      </c>
    </row>
    <row r="63" s="175" customFormat="1" customHeight="1" spans="1:10">
      <c r="A63" s="184" t="s">
        <v>578</v>
      </c>
      <c r="B63" s="185" t="s">
        <v>4718</v>
      </c>
      <c r="C63" s="186">
        <f t="shared" ref="C63:J63" si="8">SUM(C64:C73)</f>
        <v>84348</v>
      </c>
      <c r="D63" s="186">
        <f t="shared" si="8"/>
        <v>48634</v>
      </c>
      <c r="E63" s="186">
        <f t="shared" si="8"/>
        <v>0</v>
      </c>
      <c r="F63" s="186">
        <f t="shared" si="8"/>
        <v>4107</v>
      </c>
      <c r="G63" s="186">
        <f t="shared" si="8"/>
        <v>0</v>
      </c>
      <c r="H63" s="186">
        <f t="shared" si="8"/>
        <v>12064</v>
      </c>
      <c r="I63" s="186">
        <f t="shared" si="8"/>
        <v>0</v>
      </c>
      <c r="J63" s="186">
        <f t="shared" si="8"/>
        <v>19543</v>
      </c>
    </row>
    <row r="64" s="176" customFormat="1" customHeight="1" spans="1:10">
      <c r="A64" s="187" t="s">
        <v>580</v>
      </c>
      <c r="B64" s="192" t="s">
        <v>4719</v>
      </c>
      <c r="C64" s="189">
        <f t="shared" ref="C64:C73" si="9">SUM(D64:J64)</f>
        <v>170</v>
      </c>
      <c r="D64" s="189">
        <v>170</v>
      </c>
      <c r="E64" s="189"/>
      <c r="F64" s="201">
        <v>0</v>
      </c>
      <c r="G64" s="189"/>
      <c r="H64" s="189">
        <v>0</v>
      </c>
      <c r="I64" s="189"/>
      <c r="J64" s="189"/>
    </row>
    <row r="65" s="176" customFormat="1" customHeight="1" spans="1:10">
      <c r="A65" s="187" t="s">
        <v>582</v>
      </c>
      <c r="B65" s="195" t="s">
        <v>4720</v>
      </c>
      <c r="C65" s="189">
        <f t="shared" si="9"/>
        <v>82576</v>
      </c>
      <c r="D65" s="189">
        <v>47240</v>
      </c>
      <c r="E65" s="189"/>
      <c r="F65" s="204">
        <v>4019</v>
      </c>
      <c r="G65" s="189"/>
      <c r="H65" s="189">
        <v>11774</v>
      </c>
      <c r="I65" s="189"/>
      <c r="J65" s="205">
        <v>19543</v>
      </c>
    </row>
    <row r="66" s="176" customFormat="1" customHeight="1" spans="1:10">
      <c r="A66" s="187" t="s">
        <v>584</v>
      </c>
      <c r="B66" s="195" t="s">
        <v>4721</v>
      </c>
      <c r="C66" s="189">
        <f t="shared" si="9"/>
        <v>77</v>
      </c>
      <c r="D66" s="189">
        <v>0</v>
      </c>
      <c r="E66" s="189"/>
      <c r="F66" s="201">
        <v>77</v>
      </c>
      <c r="G66" s="189"/>
      <c r="H66" s="189">
        <v>0</v>
      </c>
      <c r="I66" s="189"/>
      <c r="J66" s="189"/>
    </row>
    <row r="67" s="176" customFormat="1" customHeight="1" spans="1:10">
      <c r="A67" s="187" t="s">
        <v>586</v>
      </c>
      <c r="B67" s="196" t="s">
        <v>4722</v>
      </c>
      <c r="C67" s="189">
        <f t="shared" si="9"/>
        <v>0</v>
      </c>
      <c r="D67" s="189">
        <v>0</v>
      </c>
      <c r="E67" s="189"/>
      <c r="F67" s="201">
        <v>0</v>
      </c>
      <c r="G67" s="189"/>
      <c r="H67" s="189">
        <v>0</v>
      </c>
      <c r="I67" s="189"/>
      <c r="J67" s="189"/>
    </row>
    <row r="68" s="176" customFormat="1" customHeight="1" spans="1:10">
      <c r="A68" s="187" t="s">
        <v>588</v>
      </c>
      <c r="B68" s="192" t="s">
        <v>4723</v>
      </c>
      <c r="C68" s="189">
        <f t="shared" si="9"/>
        <v>0</v>
      </c>
      <c r="D68" s="189">
        <v>0</v>
      </c>
      <c r="E68" s="189"/>
      <c r="F68" s="201">
        <v>0</v>
      </c>
      <c r="G68" s="189"/>
      <c r="H68" s="189">
        <v>0</v>
      </c>
      <c r="I68" s="189"/>
      <c r="J68" s="189"/>
    </row>
    <row r="69" s="176" customFormat="1" customHeight="1" spans="1:10">
      <c r="A69" s="187" t="s">
        <v>590</v>
      </c>
      <c r="B69" s="192" t="s">
        <v>4724</v>
      </c>
      <c r="C69" s="189">
        <f t="shared" si="9"/>
        <v>0</v>
      </c>
      <c r="D69" s="189">
        <v>0</v>
      </c>
      <c r="E69" s="189"/>
      <c r="F69" s="201">
        <v>0</v>
      </c>
      <c r="G69" s="189"/>
      <c r="H69" s="189">
        <v>0</v>
      </c>
      <c r="I69" s="189"/>
      <c r="J69" s="189"/>
    </row>
    <row r="70" s="176" customFormat="1" customHeight="1" spans="1:10">
      <c r="A70" s="187" t="s">
        <v>592</v>
      </c>
      <c r="B70" s="195" t="s">
        <v>4725</v>
      </c>
      <c r="C70" s="189">
        <f t="shared" si="9"/>
        <v>295</v>
      </c>
      <c r="D70" s="189">
        <v>284</v>
      </c>
      <c r="E70" s="189"/>
      <c r="F70" s="201">
        <v>11</v>
      </c>
      <c r="G70" s="189"/>
      <c r="H70" s="189">
        <v>0</v>
      </c>
      <c r="I70" s="189"/>
      <c r="J70" s="189"/>
    </row>
    <row r="71" s="176" customFormat="1" customHeight="1" spans="1:10">
      <c r="A71" s="187" t="s">
        <v>594</v>
      </c>
      <c r="B71" s="192" t="s">
        <v>4726</v>
      </c>
      <c r="C71" s="189">
        <f t="shared" si="9"/>
        <v>290</v>
      </c>
      <c r="D71" s="189">
        <v>0</v>
      </c>
      <c r="E71" s="189"/>
      <c r="F71" s="201"/>
      <c r="G71" s="189"/>
      <c r="H71" s="189">
        <v>290</v>
      </c>
      <c r="I71" s="189"/>
      <c r="J71" s="189"/>
    </row>
    <row r="72" s="176" customFormat="1" customHeight="1" spans="1:10">
      <c r="A72" s="187" t="s">
        <v>596</v>
      </c>
      <c r="B72" s="195" t="s">
        <v>4727</v>
      </c>
      <c r="C72" s="189">
        <f t="shared" si="9"/>
        <v>940</v>
      </c>
      <c r="D72" s="189">
        <v>940</v>
      </c>
      <c r="E72" s="189"/>
      <c r="F72" s="201">
        <v>0</v>
      </c>
      <c r="G72" s="189"/>
      <c r="H72" s="189">
        <v>0</v>
      </c>
      <c r="I72" s="189"/>
      <c r="J72" s="189"/>
    </row>
    <row r="73" s="176" customFormat="1" customHeight="1" spans="1:10">
      <c r="A73" s="187" t="s">
        <v>598</v>
      </c>
      <c r="B73" s="195" t="s">
        <v>4728</v>
      </c>
      <c r="C73" s="189">
        <f t="shared" si="9"/>
        <v>0</v>
      </c>
      <c r="D73" s="189">
        <v>0</v>
      </c>
      <c r="E73" s="189"/>
      <c r="F73" s="201">
        <v>0</v>
      </c>
      <c r="G73" s="189"/>
      <c r="H73" s="189">
        <v>0</v>
      </c>
      <c r="I73" s="189"/>
      <c r="J73" s="189"/>
    </row>
    <row r="74" s="175" customFormat="1" customHeight="1" spans="1:10">
      <c r="A74" s="184" t="s">
        <v>600</v>
      </c>
      <c r="B74" s="185" t="s">
        <v>4729</v>
      </c>
      <c r="C74" s="186">
        <f t="shared" ref="C74:J74" si="10">SUM(C75:C84)</f>
        <v>2343</v>
      </c>
      <c r="D74" s="186">
        <f t="shared" si="10"/>
        <v>2238</v>
      </c>
      <c r="E74" s="186">
        <f t="shared" si="10"/>
        <v>0</v>
      </c>
      <c r="F74" s="186">
        <f t="shared" si="10"/>
        <v>25</v>
      </c>
      <c r="G74" s="186">
        <f t="shared" si="10"/>
        <v>0</v>
      </c>
      <c r="H74" s="186">
        <f t="shared" si="10"/>
        <v>55</v>
      </c>
      <c r="I74" s="186">
        <f t="shared" si="10"/>
        <v>0</v>
      </c>
      <c r="J74" s="186">
        <f t="shared" si="10"/>
        <v>25</v>
      </c>
    </row>
    <row r="75" s="176" customFormat="1" customHeight="1" spans="1:10">
      <c r="A75" s="187" t="s">
        <v>602</v>
      </c>
      <c r="B75" s="192" t="s">
        <v>4730</v>
      </c>
      <c r="C75" s="189">
        <f t="shared" ref="C75:C84" si="11">SUM(D75:J75)</f>
        <v>281</v>
      </c>
      <c r="D75" s="189">
        <v>281</v>
      </c>
      <c r="E75" s="189"/>
      <c r="F75" s="189">
        <v>0</v>
      </c>
      <c r="G75" s="189"/>
      <c r="H75" s="189">
        <v>0</v>
      </c>
      <c r="I75" s="189"/>
      <c r="J75" s="189"/>
    </row>
    <row r="76" s="176" customFormat="1" customHeight="1" spans="1:10">
      <c r="A76" s="187" t="s">
        <v>604</v>
      </c>
      <c r="B76" s="195" t="s">
        <v>4731</v>
      </c>
      <c r="C76" s="189">
        <f t="shared" si="11"/>
        <v>241</v>
      </c>
      <c r="D76" s="189">
        <v>241</v>
      </c>
      <c r="E76" s="189"/>
      <c r="F76" s="189">
        <v>0</v>
      </c>
      <c r="G76" s="189"/>
      <c r="H76" s="189">
        <v>0</v>
      </c>
      <c r="I76" s="189"/>
      <c r="J76" s="189"/>
    </row>
    <row r="77" s="176" customFormat="1" customHeight="1" spans="1:10">
      <c r="A77" s="187" t="s">
        <v>606</v>
      </c>
      <c r="B77" s="192" t="s">
        <v>4732</v>
      </c>
      <c r="C77" s="189">
        <f t="shared" si="11"/>
        <v>0</v>
      </c>
      <c r="D77" s="189">
        <v>0</v>
      </c>
      <c r="E77" s="189"/>
      <c r="F77" s="189">
        <v>0</v>
      </c>
      <c r="G77" s="189"/>
      <c r="H77" s="189">
        <v>0</v>
      </c>
      <c r="I77" s="189"/>
      <c r="J77" s="189"/>
    </row>
    <row r="78" s="176" customFormat="1" customHeight="1" spans="1:10">
      <c r="A78" s="187" t="s">
        <v>608</v>
      </c>
      <c r="B78" s="192" t="s">
        <v>4733</v>
      </c>
      <c r="C78" s="189">
        <f t="shared" si="11"/>
        <v>1692</v>
      </c>
      <c r="D78" s="189">
        <v>1692</v>
      </c>
      <c r="E78" s="189"/>
      <c r="F78" s="189">
        <v>0</v>
      </c>
      <c r="G78" s="189"/>
      <c r="H78" s="189">
        <v>0</v>
      </c>
      <c r="I78" s="189"/>
      <c r="J78" s="189"/>
    </row>
    <row r="79" s="176" customFormat="1" customHeight="1" spans="1:10">
      <c r="A79" s="187" t="s">
        <v>610</v>
      </c>
      <c r="B79" s="192" t="s">
        <v>4734</v>
      </c>
      <c r="C79" s="189">
        <f t="shared" si="11"/>
        <v>0</v>
      </c>
      <c r="D79" s="189">
        <v>0</v>
      </c>
      <c r="E79" s="189"/>
      <c r="F79" s="189">
        <v>0</v>
      </c>
      <c r="G79" s="189"/>
      <c r="H79" s="189">
        <v>0</v>
      </c>
      <c r="I79" s="189"/>
      <c r="J79" s="189"/>
    </row>
    <row r="80" s="176" customFormat="1" customHeight="1" spans="1:10">
      <c r="A80" s="187" t="s">
        <v>612</v>
      </c>
      <c r="B80" s="192" t="s">
        <v>4735</v>
      </c>
      <c r="C80" s="189">
        <f t="shared" si="11"/>
        <v>0</v>
      </c>
      <c r="D80" s="189">
        <v>0</v>
      </c>
      <c r="E80" s="189"/>
      <c r="F80" s="189">
        <v>0</v>
      </c>
      <c r="G80" s="189"/>
      <c r="H80" s="189">
        <v>0</v>
      </c>
      <c r="I80" s="189"/>
      <c r="J80" s="189"/>
    </row>
    <row r="81" s="176" customFormat="1" customHeight="1" spans="1:10">
      <c r="A81" s="187" t="s">
        <v>614</v>
      </c>
      <c r="B81" s="195" t="s">
        <v>4736</v>
      </c>
      <c r="C81" s="189">
        <f t="shared" si="11"/>
        <v>126</v>
      </c>
      <c r="D81" s="189">
        <v>21</v>
      </c>
      <c r="E81" s="189"/>
      <c r="F81" s="201">
        <v>25</v>
      </c>
      <c r="G81" s="189"/>
      <c r="H81" s="189">
        <v>55</v>
      </c>
      <c r="I81" s="189"/>
      <c r="J81" s="189">
        <v>25</v>
      </c>
    </row>
    <row r="82" s="176" customFormat="1" customHeight="1" spans="1:10">
      <c r="A82" s="187" t="s">
        <v>616</v>
      </c>
      <c r="B82" s="195" t="s">
        <v>4737</v>
      </c>
      <c r="C82" s="189">
        <f t="shared" si="11"/>
        <v>0</v>
      </c>
      <c r="D82" s="189">
        <v>0</v>
      </c>
      <c r="E82" s="189"/>
      <c r="F82" s="189">
        <v>0</v>
      </c>
      <c r="G82" s="189"/>
      <c r="H82" s="189">
        <v>0</v>
      </c>
      <c r="I82" s="189"/>
      <c r="J82" s="189"/>
    </row>
    <row r="83" s="176" customFormat="1" customHeight="1" spans="1:10">
      <c r="A83" s="187" t="s">
        <v>618</v>
      </c>
      <c r="B83" s="196" t="s">
        <v>4738</v>
      </c>
      <c r="C83" s="189">
        <f t="shared" si="11"/>
        <v>0</v>
      </c>
      <c r="D83" s="189">
        <v>0</v>
      </c>
      <c r="E83" s="189"/>
      <c r="F83" s="189">
        <v>0</v>
      </c>
      <c r="G83" s="189"/>
      <c r="H83" s="189">
        <v>0</v>
      </c>
      <c r="I83" s="189"/>
      <c r="J83" s="189"/>
    </row>
    <row r="84" s="176" customFormat="1" customHeight="1" spans="1:10">
      <c r="A84" s="187" t="s">
        <v>620</v>
      </c>
      <c r="B84" s="195" t="s">
        <v>4739</v>
      </c>
      <c r="C84" s="189">
        <f t="shared" si="11"/>
        <v>3</v>
      </c>
      <c r="D84" s="189">
        <v>3</v>
      </c>
      <c r="E84" s="189"/>
      <c r="F84" s="189">
        <v>0</v>
      </c>
      <c r="G84" s="189"/>
      <c r="H84" s="189">
        <v>0</v>
      </c>
      <c r="I84" s="189"/>
      <c r="J84" s="189"/>
    </row>
    <row r="85" s="175" customFormat="1" customHeight="1" spans="1:10">
      <c r="A85" s="184" t="s">
        <v>622</v>
      </c>
      <c r="B85" s="185" t="s">
        <v>4740</v>
      </c>
      <c r="C85" s="186">
        <f t="shared" ref="C85:J85" si="12">SUM(C86:C91)</f>
        <v>3042</v>
      </c>
      <c r="D85" s="186">
        <f t="shared" si="12"/>
        <v>426</v>
      </c>
      <c r="E85" s="186">
        <f t="shared" si="12"/>
        <v>70</v>
      </c>
      <c r="F85" s="186">
        <f t="shared" si="12"/>
        <v>811</v>
      </c>
      <c r="G85" s="186">
        <f t="shared" si="12"/>
        <v>0</v>
      </c>
      <c r="H85" s="186">
        <f t="shared" si="12"/>
        <v>1029</v>
      </c>
      <c r="I85" s="186">
        <f t="shared" si="12"/>
        <v>0</v>
      </c>
      <c r="J85" s="186">
        <f t="shared" si="12"/>
        <v>706</v>
      </c>
    </row>
    <row r="86" s="176" customFormat="1" customHeight="1" spans="1:10">
      <c r="A86" s="187" t="s">
        <v>624</v>
      </c>
      <c r="B86" s="196" t="s">
        <v>4741</v>
      </c>
      <c r="C86" s="189">
        <f t="shared" ref="C86:C91" si="13">SUM(D86:J86)</f>
        <v>1867</v>
      </c>
      <c r="D86" s="189">
        <v>0</v>
      </c>
      <c r="E86" s="189"/>
      <c r="F86" s="201">
        <v>484</v>
      </c>
      <c r="G86" s="189"/>
      <c r="H86" s="189">
        <v>940</v>
      </c>
      <c r="I86" s="189"/>
      <c r="J86" s="189">
        <v>443</v>
      </c>
    </row>
    <row r="87" s="176" customFormat="1" customHeight="1" spans="1:10">
      <c r="A87" s="187" t="s">
        <v>626</v>
      </c>
      <c r="B87" s="196" t="s">
        <v>4742</v>
      </c>
      <c r="C87" s="189">
        <f t="shared" si="13"/>
        <v>248</v>
      </c>
      <c r="D87" s="189">
        <v>0</v>
      </c>
      <c r="E87" s="189">
        <v>20</v>
      </c>
      <c r="F87" s="201">
        <v>194</v>
      </c>
      <c r="G87" s="189"/>
      <c r="H87" s="189">
        <v>34</v>
      </c>
      <c r="I87" s="189"/>
      <c r="J87" s="189"/>
    </row>
    <row r="88" s="176" customFormat="1" customHeight="1" spans="1:10">
      <c r="A88" s="187" t="s">
        <v>628</v>
      </c>
      <c r="B88" s="196" t="s">
        <v>4743</v>
      </c>
      <c r="C88" s="189">
        <f t="shared" si="13"/>
        <v>56</v>
      </c>
      <c r="D88" s="189">
        <v>20</v>
      </c>
      <c r="E88" s="189"/>
      <c r="F88" s="201">
        <v>36</v>
      </c>
      <c r="G88" s="189"/>
      <c r="H88" s="189">
        <v>0</v>
      </c>
      <c r="I88" s="189"/>
      <c r="J88" s="189"/>
    </row>
    <row r="89" s="176" customFormat="1" customHeight="1" spans="1:10">
      <c r="A89" s="187" t="s">
        <v>630</v>
      </c>
      <c r="B89" s="196" t="s">
        <v>4744</v>
      </c>
      <c r="C89" s="189">
        <f t="shared" si="13"/>
        <v>0</v>
      </c>
      <c r="D89" s="189">
        <v>0</v>
      </c>
      <c r="E89" s="189"/>
      <c r="F89" s="201">
        <v>0</v>
      </c>
      <c r="G89" s="189"/>
      <c r="H89" s="189">
        <v>0</v>
      </c>
      <c r="I89" s="189"/>
      <c r="J89" s="189"/>
    </row>
    <row r="90" s="176" customFormat="1" customHeight="1" spans="1:10">
      <c r="A90" s="187" t="s">
        <v>632</v>
      </c>
      <c r="B90" s="196" t="s">
        <v>4745</v>
      </c>
      <c r="C90" s="189">
        <f t="shared" si="13"/>
        <v>570</v>
      </c>
      <c r="D90" s="189">
        <v>406</v>
      </c>
      <c r="E90" s="189"/>
      <c r="F90" s="201">
        <v>63</v>
      </c>
      <c r="G90" s="189"/>
      <c r="H90" s="189">
        <v>55</v>
      </c>
      <c r="I90" s="189"/>
      <c r="J90" s="189">
        <v>46</v>
      </c>
    </row>
    <row r="91" s="176" customFormat="1" customHeight="1" spans="1:10">
      <c r="A91" s="187" t="s">
        <v>634</v>
      </c>
      <c r="B91" s="196" t="s">
        <v>4746</v>
      </c>
      <c r="C91" s="189">
        <f t="shared" si="13"/>
        <v>301</v>
      </c>
      <c r="D91" s="189">
        <v>0</v>
      </c>
      <c r="E91" s="189">
        <v>50</v>
      </c>
      <c r="F91" s="201">
        <v>34</v>
      </c>
      <c r="G91" s="189"/>
      <c r="H91" s="189">
        <v>0</v>
      </c>
      <c r="I91" s="189"/>
      <c r="J91" s="189">
        <v>217</v>
      </c>
    </row>
    <row r="92" s="175" customFormat="1" customHeight="1" spans="1:10">
      <c r="A92" s="184" t="s">
        <v>636</v>
      </c>
      <c r="B92" s="185" t="s">
        <v>4747</v>
      </c>
      <c r="C92" s="186">
        <f t="shared" ref="C92:J92" si="14">SUM(C93:C113)</f>
        <v>73581</v>
      </c>
      <c r="D92" s="186">
        <f t="shared" si="14"/>
        <v>29421</v>
      </c>
      <c r="E92" s="186">
        <f t="shared" si="14"/>
        <v>39</v>
      </c>
      <c r="F92" s="186">
        <f t="shared" si="14"/>
        <v>827</v>
      </c>
      <c r="G92" s="186">
        <f t="shared" si="14"/>
        <v>0</v>
      </c>
      <c r="H92" s="186">
        <f t="shared" si="14"/>
        <v>11386</v>
      </c>
      <c r="I92" s="186">
        <f t="shared" si="14"/>
        <v>0</v>
      </c>
      <c r="J92" s="186">
        <f t="shared" si="14"/>
        <v>31908</v>
      </c>
    </row>
    <row r="93" s="176" customFormat="1" customHeight="1" spans="1:10">
      <c r="A93" s="187" t="s">
        <v>638</v>
      </c>
      <c r="B93" s="196" t="s">
        <v>4748</v>
      </c>
      <c r="C93" s="189">
        <f t="shared" ref="C93:C113" si="15">SUM(D93:J93)</f>
        <v>4231</v>
      </c>
      <c r="D93" s="189">
        <v>958</v>
      </c>
      <c r="E93" s="189">
        <v>38</v>
      </c>
      <c r="F93" s="201">
        <v>82</v>
      </c>
      <c r="G93" s="189"/>
      <c r="H93" s="189">
        <v>3153</v>
      </c>
      <c r="I93" s="189"/>
      <c r="J93" s="189"/>
    </row>
    <row r="94" s="176" customFormat="1" customHeight="1" spans="1:10">
      <c r="A94" s="187" t="s">
        <v>640</v>
      </c>
      <c r="B94" s="196" t="s">
        <v>4749</v>
      </c>
      <c r="C94" s="189">
        <f t="shared" si="15"/>
        <v>327</v>
      </c>
      <c r="D94" s="189">
        <v>294</v>
      </c>
      <c r="E94" s="189"/>
      <c r="F94" s="201">
        <v>20</v>
      </c>
      <c r="G94" s="189"/>
      <c r="H94" s="189">
        <v>13</v>
      </c>
      <c r="I94" s="189"/>
      <c r="J94" s="189"/>
    </row>
    <row r="95" s="176" customFormat="1" customHeight="1" spans="1:10">
      <c r="A95" s="187" t="s">
        <v>642</v>
      </c>
      <c r="B95" s="196" t="s">
        <v>4750</v>
      </c>
      <c r="C95" s="189">
        <f t="shared" si="15"/>
        <v>0</v>
      </c>
      <c r="D95" s="189">
        <v>0</v>
      </c>
      <c r="E95" s="189"/>
      <c r="F95" s="201">
        <v>0</v>
      </c>
      <c r="G95" s="189"/>
      <c r="H95" s="189">
        <v>0</v>
      </c>
      <c r="I95" s="189"/>
      <c r="J95" s="189"/>
    </row>
    <row r="96" s="176" customFormat="1" customHeight="1" spans="1:10">
      <c r="A96" s="187" t="s">
        <v>644</v>
      </c>
      <c r="B96" s="196" t="s">
        <v>4751</v>
      </c>
      <c r="C96" s="189">
        <f t="shared" si="15"/>
        <v>33484</v>
      </c>
      <c r="D96" s="189">
        <v>23253</v>
      </c>
      <c r="E96" s="189"/>
      <c r="F96" s="201">
        <v>0</v>
      </c>
      <c r="G96" s="189"/>
      <c r="H96" s="189">
        <v>7598</v>
      </c>
      <c r="I96" s="189"/>
      <c r="J96" s="205">
        <v>2633</v>
      </c>
    </row>
    <row r="97" s="176" customFormat="1" customHeight="1" spans="1:10">
      <c r="A97" s="187" t="s">
        <v>646</v>
      </c>
      <c r="B97" s="196" t="s">
        <v>4752</v>
      </c>
      <c r="C97" s="189">
        <f t="shared" si="15"/>
        <v>0</v>
      </c>
      <c r="D97" s="189">
        <v>0</v>
      </c>
      <c r="E97" s="189"/>
      <c r="F97" s="201">
        <v>0</v>
      </c>
      <c r="G97" s="189"/>
      <c r="H97" s="189">
        <v>0</v>
      </c>
      <c r="I97" s="189"/>
      <c r="J97" s="189"/>
    </row>
    <row r="98" s="176" customFormat="1" customHeight="1" spans="1:10">
      <c r="A98" s="187" t="s">
        <v>648</v>
      </c>
      <c r="B98" s="196" t="s">
        <v>4753</v>
      </c>
      <c r="C98" s="189">
        <f t="shared" si="15"/>
        <v>1970</v>
      </c>
      <c r="D98" s="189">
        <v>0</v>
      </c>
      <c r="E98" s="189"/>
      <c r="F98" s="201">
        <v>138</v>
      </c>
      <c r="G98" s="189"/>
      <c r="H98" s="189">
        <v>0</v>
      </c>
      <c r="I98" s="189"/>
      <c r="J98" s="189">
        <v>1832</v>
      </c>
    </row>
    <row r="99" s="176" customFormat="1" customHeight="1" spans="1:10">
      <c r="A99" s="187" t="s">
        <v>650</v>
      </c>
      <c r="B99" s="196" t="s">
        <v>4754</v>
      </c>
      <c r="C99" s="189">
        <f t="shared" si="15"/>
        <v>3161</v>
      </c>
      <c r="D99" s="189">
        <v>1317</v>
      </c>
      <c r="E99" s="189"/>
      <c r="F99" s="201">
        <v>68</v>
      </c>
      <c r="G99" s="189"/>
      <c r="H99" s="189">
        <v>7</v>
      </c>
      <c r="I99" s="189"/>
      <c r="J99" s="189">
        <v>1769</v>
      </c>
    </row>
    <row r="100" s="176" customFormat="1" customHeight="1" spans="1:10">
      <c r="A100" s="187" t="s">
        <v>652</v>
      </c>
      <c r="B100" s="196" t="s">
        <v>4755</v>
      </c>
      <c r="C100" s="189">
        <f t="shared" si="15"/>
        <v>304</v>
      </c>
      <c r="D100" s="189">
        <v>78</v>
      </c>
      <c r="E100" s="189"/>
      <c r="F100" s="201">
        <v>57</v>
      </c>
      <c r="G100" s="189"/>
      <c r="H100" s="189">
        <v>6</v>
      </c>
      <c r="I100" s="189"/>
      <c r="J100" s="189">
        <v>163</v>
      </c>
    </row>
    <row r="101" s="176" customFormat="1" customHeight="1" spans="1:10">
      <c r="A101" s="187" t="s">
        <v>654</v>
      </c>
      <c r="B101" s="196" t="s">
        <v>4756</v>
      </c>
      <c r="C101" s="189">
        <f t="shared" si="15"/>
        <v>1116</v>
      </c>
      <c r="D101" s="189">
        <v>300</v>
      </c>
      <c r="E101" s="189"/>
      <c r="F101" s="201">
        <v>0</v>
      </c>
      <c r="G101" s="189"/>
      <c r="H101" s="189">
        <v>556</v>
      </c>
      <c r="I101" s="189"/>
      <c r="J101" s="189">
        <v>260</v>
      </c>
    </row>
    <row r="102" s="176" customFormat="1" customHeight="1" spans="1:10">
      <c r="A102" s="187" t="s">
        <v>656</v>
      </c>
      <c r="B102" s="196" t="s">
        <v>4757</v>
      </c>
      <c r="C102" s="189">
        <f t="shared" si="15"/>
        <v>620</v>
      </c>
      <c r="D102" s="189">
        <v>258</v>
      </c>
      <c r="E102" s="189"/>
      <c r="F102" s="201">
        <v>135</v>
      </c>
      <c r="G102" s="189"/>
      <c r="H102" s="189">
        <v>49</v>
      </c>
      <c r="I102" s="189"/>
      <c r="J102" s="189">
        <v>178</v>
      </c>
    </row>
    <row r="103" s="176" customFormat="1" customHeight="1" spans="1:10">
      <c r="A103" s="187" t="s">
        <v>658</v>
      </c>
      <c r="B103" s="196" t="s">
        <v>4758</v>
      </c>
      <c r="C103" s="189">
        <f t="shared" si="15"/>
        <v>42</v>
      </c>
      <c r="D103" s="189">
        <v>41</v>
      </c>
      <c r="E103" s="189">
        <v>1</v>
      </c>
      <c r="F103" s="201">
        <v>0</v>
      </c>
      <c r="G103" s="189"/>
      <c r="H103" s="189">
        <v>0</v>
      </c>
      <c r="I103" s="189"/>
      <c r="J103" s="189"/>
    </row>
    <row r="104" s="176" customFormat="1" customHeight="1" spans="1:10">
      <c r="A104" s="187" t="s">
        <v>660</v>
      </c>
      <c r="B104" s="196" t="s">
        <v>4759</v>
      </c>
      <c r="C104" s="189">
        <f t="shared" si="15"/>
        <v>12672</v>
      </c>
      <c r="D104" s="189">
        <v>0</v>
      </c>
      <c r="E104" s="189"/>
      <c r="F104" s="201">
        <v>1</v>
      </c>
      <c r="G104" s="189"/>
      <c r="H104" s="189">
        <v>0</v>
      </c>
      <c r="I104" s="189"/>
      <c r="J104" s="205">
        <v>12671</v>
      </c>
    </row>
    <row r="105" s="176" customFormat="1" customHeight="1" spans="1:10">
      <c r="A105" s="187" t="s">
        <v>662</v>
      </c>
      <c r="B105" s="196" t="s">
        <v>4760</v>
      </c>
      <c r="C105" s="189">
        <f t="shared" si="15"/>
        <v>16</v>
      </c>
      <c r="D105" s="189">
        <v>0</v>
      </c>
      <c r="E105" s="189"/>
      <c r="F105" s="201">
        <v>16</v>
      </c>
      <c r="G105" s="189"/>
      <c r="H105" s="189">
        <v>0</v>
      </c>
      <c r="I105" s="189"/>
      <c r="J105" s="189"/>
    </row>
    <row r="106" s="176" customFormat="1" customHeight="1" spans="1:10">
      <c r="A106" s="187" t="s">
        <v>664</v>
      </c>
      <c r="B106" s="196" t="s">
        <v>4761</v>
      </c>
      <c r="C106" s="189">
        <f t="shared" si="15"/>
        <v>0</v>
      </c>
      <c r="D106" s="189">
        <v>0</v>
      </c>
      <c r="E106" s="189"/>
      <c r="F106" s="201">
        <v>0</v>
      </c>
      <c r="G106" s="189"/>
      <c r="H106" s="189">
        <v>0</v>
      </c>
      <c r="I106" s="189"/>
      <c r="J106" s="189"/>
    </row>
    <row r="107" s="176" customFormat="1" customHeight="1" spans="1:10">
      <c r="A107" s="187" t="s">
        <v>666</v>
      </c>
      <c r="B107" s="196" t="s">
        <v>4762</v>
      </c>
      <c r="C107" s="189">
        <f t="shared" si="15"/>
        <v>0</v>
      </c>
      <c r="D107" s="189">
        <v>0</v>
      </c>
      <c r="E107" s="189"/>
      <c r="F107" s="201">
        <v>0</v>
      </c>
      <c r="G107" s="189"/>
      <c r="H107" s="189">
        <v>0</v>
      </c>
      <c r="I107" s="189"/>
      <c r="J107" s="189"/>
    </row>
    <row r="108" s="176" customFormat="1" customHeight="1" spans="1:10">
      <c r="A108" s="187" t="s">
        <v>668</v>
      </c>
      <c r="B108" s="196" t="s">
        <v>4763</v>
      </c>
      <c r="C108" s="189">
        <f t="shared" si="15"/>
        <v>9</v>
      </c>
      <c r="D108" s="189">
        <v>9</v>
      </c>
      <c r="E108" s="189"/>
      <c r="F108" s="201">
        <v>0</v>
      </c>
      <c r="G108" s="189"/>
      <c r="H108" s="189">
        <v>0</v>
      </c>
      <c r="I108" s="189"/>
      <c r="J108" s="189"/>
    </row>
    <row r="109" s="176" customFormat="1" customHeight="1" spans="1:10">
      <c r="A109" s="187" t="s">
        <v>670</v>
      </c>
      <c r="B109" s="196" t="s">
        <v>4764</v>
      </c>
      <c r="C109" s="189">
        <f t="shared" si="15"/>
        <v>13419</v>
      </c>
      <c r="D109" s="189">
        <v>1186</v>
      </c>
      <c r="E109" s="189"/>
      <c r="F109" s="201">
        <v>0</v>
      </c>
      <c r="G109" s="189"/>
      <c r="H109" s="189">
        <v>0</v>
      </c>
      <c r="I109" s="189"/>
      <c r="J109" s="205">
        <v>12233</v>
      </c>
    </row>
    <row r="110" s="176" customFormat="1" customHeight="1" spans="1:10">
      <c r="A110" s="187" t="s">
        <v>672</v>
      </c>
      <c r="B110" s="196" t="s">
        <v>4765</v>
      </c>
      <c r="C110" s="189">
        <f t="shared" si="15"/>
        <v>0</v>
      </c>
      <c r="D110" s="189">
        <v>0</v>
      </c>
      <c r="E110" s="189"/>
      <c r="F110" s="201">
        <v>0</v>
      </c>
      <c r="G110" s="189"/>
      <c r="H110" s="189">
        <v>0</v>
      </c>
      <c r="I110" s="189"/>
      <c r="J110" s="189"/>
    </row>
    <row r="111" s="176" customFormat="1" customHeight="1" spans="1:10">
      <c r="A111" s="187" t="s">
        <v>674</v>
      </c>
      <c r="B111" s="196" t="s">
        <v>4766</v>
      </c>
      <c r="C111" s="189">
        <f t="shared" si="15"/>
        <v>205</v>
      </c>
      <c r="D111" s="189">
        <v>205</v>
      </c>
      <c r="E111" s="189"/>
      <c r="F111" s="201">
        <v>0</v>
      </c>
      <c r="G111" s="189"/>
      <c r="H111" s="189">
        <v>0</v>
      </c>
      <c r="I111" s="189"/>
      <c r="J111" s="189"/>
    </row>
    <row r="112" s="176" customFormat="1" customHeight="1" spans="1:10">
      <c r="A112" s="187" t="s">
        <v>676</v>
      </c>
      <c r="B112" s="196" t="s">
        <v>4767</v>
      </c>
      <c r="C112" s="189">
        <f t="shared" si="15"/>
        <v>1616</v>
      </c>
      <c r="D112" s="189">
        <v>1365</v>
      </c>
      <c r="E112" s="189"/>
      <c r="F112" s="201">
        <v>95</v>
      </c>
      <c r="G112" s="189"/>
      <c r="H112" s="189">
        <v>4</v>
      </c>
      <c r="I112" s="189"/>
      <c r="J112" s="189">
        <v>152</v>
      </c>
    </row>
    <row r="113" s="176" customFormat="1" customHeight="1" spans="1:10">
      <c r="A113" s="187" t="s">
        <v>678</v>
      </c>
      <c r="B113" s="196" t="s">
        <v>4768</v>
      </c>
      <c r="C113" s="189">
        <f t="shared" si="15"/>
        <v>389</v>
      </c>
      <c r="D113" s="189">
        <v>157</v>
      </c>
      <c r="E113" s="189"/>
      <c r="F113" s="201">
        <v>215</v>
      </c>
      <c r="G113" s="189"/>
      <c r="H113" s="189">
        <v>0</v>
      </c>
      <c r="I113" s="189"/>
      <c r="J113" s="189">
        <v>17</v>
      </c>
    </row>
    <row r="114" s="175" customFormat="1" customHeight="1" spans="1:10">
      <c r="A114" s="184" t="s">
        <v>680</v>
      </c>
      <c r="B114" s="185" t="s">
        <v>4769</v>
      </c>
      <c r="C114" s="186">
        <f t="shared" ref="C114:J114" si="16">SUM(C115:C128)</f>
        <v>25409</v>
      </c>
      <c r="D114" s="186">
        <f t="shared" si="16"/>
        <v>14732</v>
      </c>
      <c r="E114" s="186">
        <f t="shared" si="16"/>
        <v>0</v>
      </c>
      <c r="F114" s="186">
        <f t="shared" si="16"/>
        <v>2394</v>
      </c>
      <c r="G114" s="186">
        <f t="shared" si="16"/>
        <v>0</v>
      </c>
      <c r="H114" s="186">
        <f t="shared" si="16"/>
        <v>960</v>
      </c>
      <c r="I114" s="186">
        <f t="shared" si="16"/>
        <v>0</v>
      </c>
      <c r="J114" s="186">
        <f t="shared" si="16"/>
        <v>9905</v>
      </c>
    </row>
    <row r="115" s="176" customFormat="1" customHeight="1" spans="1:10">
      <c r="A115" s="187" t="s">
        <v>682</v>
      </c>
      <c r="B115" s="196" t="s">
        <v>4770</v>
      </c>
      <c r="C115" s="189">
        <f t="shared" ref="C115:C121" si="17">SUM(D115:J115)</f>
        <v>552</v>
      </c>
      <c r="D115" s="189">
        <v>552</v>
      </c>
      <c r="E115" s="189"/>
      <c r="F115" s="201">
        <v>0</v>
      </c>
      <c r="G115" s="189"/>
      <c r="H115" s="189">
        <v>0</v>
      </c>
      <c r="I115" s="189"/>
      <c r="J115" s="189"/>
    </row>
    <row r="116" s="176" customFormat="1" customHeight="1" spans="1:10">
      <c r="A116" s="187" t="s">
        <v>684</v>
      </c>
      <c r="B116" s="196" t="s">
        <v>4771</v>
      </c>
      <c r="C116" s="189">
        <f t="shared" si="17"/>
        <v>2351</v>
      </c>
      <c r="D116" s="189">
        <v>1860</v>
      </c>
      <c r="E116" s="189"/>
      <c r="F116" s="201">
        <v>248</v>
      </c>
      <c r="G116" s="189"/>
      <c r="H116" s="189">
        <v>243</v>
      </c>
      <c r="I116" s="189"/>
      <c r="J116" s="189"/>
    </row>
    <row r="117" s="176" customFormat="1" customHeight="1" spans="1:10">
      <c r="A117" s="187" t="s">
        <v>686</v>
      </c>
      <c r="B117" s="196" t="s">
        <v>4772</v>
      </c>
      <c r="C117" s="189">
        <f t="shared" si="17"/>
        <v>4775</v>
      </c>
      <c r="D117" s="189">
        <v>3493</v>
      </c>
      <c r="E117" s="189"/>
      <c r="F117" s="201">
        <v>294</v>
      </c>
      <c r="G117" s="189"/>
      <c r="H117" s="189">
        <v>173</v>
      </c>
      <c r="I117" s="189"/>
      <c r="J117" s="189">
        <v>815</v>
      </c>
    </row>
    <row r="118" s="176" customFormat="1" customHeight="1" spans="1:10">
      <c r="A118" s="187" t="s">
        <v>688</v>
      </c>
      <c r="B118" s="196" t="s">
        <v>4773</v>
      </c>
      <c r="C118" s="189">
        <f t="shared" si="17"/>
        <v>4895</v>
      </c>
      <c r="D118" s="189">
        <v>1347</v>
      </c>
      <c r="E118" s="189"/>
      <c r="F118" s="201">
        <v>189</v>
      </c>
      <c r="G118" s="189"/>
      <c r="H118" s="189">
        <v>286</v>
      </c>
      <c r="I118" s="189"/>
      <c r="J118" s="189">
        <v>3073</v>
      </c>
    </row>
    <row r="119" s="176" customFormat="1" customHeight="1" spans="1:10">
      <c r="A119" s="187" t="s">
        <v>690</v>
      </c>
      <c r="B119" s="196" t="s">
        <v>4774</v>
      </c>
      <c r="C119" s="189">
        <f t="shared" si="17"/>
        <v>1755</v>
      </c>
      <c r="D119" s="189">
        <v>822</v>
      </c>
      <c r="E119" s="189"/>
      <c r="F119" s="201">
        <v>7</v>
      </c>
      <c r="G119" s="189"/>
      <c r="H119" s="189">
        <v>133</v>
      </c>
      <c r="I119" s="189"/>
      <c r="J119" s="189">
        <v>793</v>
      </c>
    </row>
    <row r="120" s="176" customFormat="1" customHeight="1" spans="1:10">
      <c r="A120" s="187" t="s">
        <v>692</v>
      </c>
      <c r="B120" s="196" t="s">
        <v>4775</v>
      </c>
      <c r="C120" s="189">
        <f t="shared" si="17"/>
        <v>4221</v>
      </c>
      <c r="D120" s="189">
        <v>4221</v>
      </c>
      <c r="E120" s="189"/>
      <c r="F120" s="201">
        <v>0</v>
      </c>
      <c r="G120" s="189"/>
      <c r="H120" s="189">
        <v>0</v>
      </c>
      <c r="I120" s="189"/>
      <c r="J120" s="189"/>
    </row>
    <row r="121" s="176" customFormat="1" customHeight="1" spans="1:10">
      <c r="A121" s="187" t="s">
        <v>694</v>
      </c>
      <c r="B121" s="196" t="s">
        <v>4776</v>
      </c>
      <c r="C121" s="189">
        <f t="shared" si="17"/>
        <v>1150</v>
      </c>
      <c r="D121" s="189">
        <v>1150</v>
      </c>
      <c r="E121" s="189"/>
      <c r="F121" s="201">
        <v>0</v>
      </c>
      <c r="G121" s="189"/>
      <c r="H121" s="189">
        <v>0</v>
      </c>
      <c r="I121" s="189"/>
      <c r="J121" s="189"/>
    </row>
    <row r="122" s="176" customFormat="1" customHeight="1" spans="1:10">
      <c r="A122" s="187" t="s">
        <v>696</v>
      </c>
      <c r="B122" s="196" t="s">
        <v>4777</v>
      </c>
      <c r="C122" s="189">
        <v>810</v>
      </c>
      <c r="D122" s="189">
        <v>810</v>
      </c>
      <c r="E122" s="189"/>
      <c r="F122" s="201">
        <v>0</v>
      </c>
      <c r="G122" s="189"/>
      <c r="H122" s="189">
        <v>0</v>
      </c>
      <c r="I122" s="189"/>
      <c r="J122" s="189">
        <v>2582</v>
      </c>
    </row>
    <row r="123" s="176" customFormat="1" customHeight="1" spans="1:10">
      <c r="A123" s="187" t="s">
        <v>698</v>
      </c>
      <c r="B123" s="196" t="s">
        <v>4778</v>
      </c>
      <c r="C123" s="189">
        <f t="shared" ref="C123:C128" si="18">SUM(D123:J123)</f>
        <v>72</v>
      </c>
      <c r="D123" s="189">
        <v>0</v>
      </c>
      <c r="E123" s="189"/>
      <c r="F123" s="201">
        <v>0</v>
      </c>
      <c r="G123" s="189"/>
      <c r="H123" s="189">
        <v>0</v>
      </c>
      <c r="I123" s="189"/>
      <c r="J123" s="189">
        <v>72</v>
      </c>
    </row>
    <row r="124" s="176" customFormat="1" customHeight="1" spans="1:10">
      <c r="A124" s="187" t="s">
        <v>700</v>
      </c>
      <c r="B124" s="196" t="s">
        <v>4779</v>
      </c>
      <c r="C124" s="189">
        <f t="shared" si="18"/>
        <v>519</v>
      </c>
      <c r="D124" s="189">
        <v>477</v>
      </c>
      <c r="E124" s="189"/>
      <c r="F124" s="201">
        <v>0</v>
      </c>
      <c r="G124" s="189"/>
      <c r="H124" s="189">
        <v>0</v>
      </c>
      <c r="I124" s="189"/>
      <c r="J124" s="189">
        <v>42</v>
      </c>
    </row>
    <row r="125" s="176" customFormat="1" customHeight="1" spans="1:10">
      <c r="A125" s="187" t="s">
        <v>702</v>
      </c>
      <c r="B125" s="196" t="s">
        <v>4780</v>
      </c>
      <c r="C125" s="189">
        <f t="shared" si="18"/>
        <v>175</v>
      </c>
      <c r="D125" s="189">
        <v>0</v>
      </c>
      <c r="E125" s="189"/>
      <c r="F125" s="201">
        <v>175</v>
      </c>
      <c r="G125" s="189"/>
      <c r="H125" s="189">
        <v>0</v>
      </c>
      <c r="I125" s="189"/>
      <c r="J125" s="189"/>
    </row>
    <row r="126" s="176" customFormat="1" customHeight="1" spans="1:10">
      <c r="A126" s="187" t="s">
        <v>704</v>
      </c>
      <c r="B126" s="196" t="s">
        <v>4781</v>
      </c>
      <c r="C126" s="189">
        <f t="shared" si="18"/>
        <v>0</v>
      </c>
      <c r="D126" s="189">
        <v>0</v>
      </c>
      <c r="E126" s="189"/>
      <c r="F126" s="201">
        <v>0</v>
      </c>
      <c r="G126" s="189"/>
      <c r="H126" s="189">
        <v>0</v>
      </c>
      <c r="I126" s="189"/>
      <c r="J126" s="189"/>
    </row>
    <row r="127" s="176" customFormat="1" customHeight="1" spans="1:10">
      <c r="A127" s="187" t="s">
        <v>706</v>
      </c>
      <c r="B127" s="196" t="s">
        <v>4782</v>
      </c>
      <c r="C127" s="189">
        <f t="shared" si="18"/>
        <v>3046</v>
      </c>
      <c r="D127" s="189">
        <v>0</v>
      </c>
      <c r="E127" s="189"/>
      <c r="F127" s="201">
        <v>673</v>
      </c>
      <c r="G127" s="189"/>
      <c r="H127" s="189">
        <v>0</v>
      </c>
      <c r="I127" s="189"/>
      <c r="J127" s="189">
        <v>2373</v>
      </c>
    </row>
    <row r="128" s="176" customFormat="1" customHeight="1" spans="1:10">
      <c r="A128" s="187" t="s">
        <v>708</v>
      </c>
      <c r="B128" s="196" t="s">
        <v>4783</v>
      </c>
      <c r="C128" s="189">
        <f t="shared" si="18"/>
        <v>1088</v>
      </c>
      <c r="D128" s="189">
        <v>0</v>
      </c>
      <c r="E128" s="189"/>
      <c r="F128" s="201">
        <v>808</v>
      </c>
      <c r="G128" s="189"/>
      <c r="H128" s="189">
        <v>125</v>
      </c>
      <c r="I128" s="189"/>
      <c r="J128" s="189">
        <v>155</v>
      </c>
    </row>
    <row r="129" s="175" customFormat="1" customHeight="1" spans="1:10">
      <c r="A129" s="184" t="s">
        <v>710</v>
      </c>
      <c r="B129" s="185" t="s">
        <v>4784</v>
      </c>
      <c r="C129" s="186">
        <f t="shared" ref="C129:J129" si="19">SUM(C130:C143)</f>
        <v>2612</v>
      </c>
      <c r="D129" s="186">
        <f t="shared" si="19"/>
        <v>107</v>
      </c>
      <c r="E129" s="186">
        <f t="shared" si="19"/>
        <v>0</v>
      </c>
      <c r="F129" s="186">
        <f t="shared" si="19"/>
        <v>574</v>
      </c>
      <c r="G129" s="186">
        <f t="shared" si="19"/>
        <v>0</v>
      </c>
      <c r="H129" s="186">
        <f t="shared" si="19"/>
        <v>0</v>
      </c>
      <c r="I129" s="186">
        <f t="shared" si="19"/>
        <v>0</v>
      </c>
      <c r="J129" s="186">
        <f t="shared" si="19"/>
        <v>1931</v>
      </c>
    </row>
    <row r="130" s="176" customFormat="1" customHeight="1" spans="1:10">
      <c r="A130" s="187" t="s">
        <v>712</v>
      </c>
      <c r="B130" s="196" t="s">
        <v>4785</v>
      </c>
      <c r="C130" s="189">
        <f t="shared" ref="C130:C143" si="20">SUM(D130:J130)</f>
        <v>0</v>
      </c>
      <c r="D130" s="189"/>
      <c r="E130" s="189"/>
      <c r="F130" s="201">
        <v>0</v>
      </c>
      <c r="G130" s="189"/>
      <c r="H130" s="189"/>
      <c r="I130" s="189"/>
      <c r="J130" s="189"/>
    </row>
    <row r="131" s="176" customFormat="1" customHeight="1" spans="1:10">
      <c r="A131" s="187" t="s">
        <v>713</v>
      </c>
      <c r="B131" s="196" t="s">
        <v>4786</v>
      </c>
      <c r="C131" s="189">
        <f t="shared" si="20"/>
        <v>0</v>
      </c>
      <c r="D131" s="189"/>
      <c r="E131" s="189"/>
      <c r="F131" s="201">
        <v>0</v>
      </c>
      <c r="G131" s="189"/>
      <c r="H131" s="189"/>
      <c r="I131" s="189"/>
      <c r="J131" s="189"/>
    </row>
    <row r="132" s="176" customFormat="1" customHeight="1" spans="1:10">
      <c r="A132" s="187" t="s">
        <v>714</v>
      </c>
      <c r="B132" s="196" t="s">
        <v>4787</v>
      </c>
      <c r="C132" s="189">
        <f t="shared" si="20"/>
        <v>112</v>
      </c>
      <c r="D132" s="189"/>
      <c r="E132" s="189"/>
      <c r="F132" s="201">
        <v>112</v>
      </c>
      <c r="G132" s="189"/>
      <c r="H132" s="189"/>
      <c r="I132" s="189"/>
      <c r="J132" s="189"/>
    </row>
    <row r="133" s="176" customFormat="1" customHeight="1" spans="1:10">
      <c r="A133" s="187" t="s">
        <v>715</v>
      </c>
      <c r="B133" s="196" t="s">
        <v>4788</v>
      </c>
      <c r="C133" s="189">
        <f t="shared" si="20"/>
        <v>61</v>
      </c>
      <c r="D133" s="189"/>
      <c r="E133" s="189"/>
      <c r="F133" s="201">
        <v>61</v>
      </c>
      <c r="G133" s="189"/>
      <c r="H133" s="189"/>
      <c r="I133" s="189"/>
      <c r="J133" s="189"/>
    </row>
    <row r="134" s="176" customFormat="1" customHeight="1" spans="1:10">
      <c r="A134" s="187" t="s">
        <v>716</v>
      </c>
      <c r="B134" s="196" t="s">
        <v>4789</v>
      </c>
      <c r="C134" s="189">
        <f t="shared" si="20"/>
        <v>2271</v>
      </c>
      <c r="D134" s="189"/>
      <c r="E134" s="189"/>
      <c r="F134" s="201">
        <v>340</v>
      </c>
      <c r="G134" s="189"/>
      <c r="H134" s="189"/>
      <c r="I134" s="189"/>
      <c r="J134" s="189">
        <v>1931</v>
      </c>
    </row>
    <row r="135" s="176" customFormat="1" customHeight="1" spans="1:10">
      <c r="A135" s="187" t="s">
        <v>718</v>
      </c>
      <c r="B135" s="196" t="s">
        <v>4790</v>
      </c>
      <c r="C135" s="189">
        <f t="shared" si="20"/>
        <v>0</v>
      </c>
      <c r="D135" s="189"/>
      <c r="E135" s="189"/>
      <c r="F135" s="201">
        <v>0</v>
      </c>
      <c r="G135" s="189"/>
      <c r="H135" s="189"/>
      <c r="I135" s="189"/>
      <c r="J135" s="189"/>
    </row>
    <row r="136" s="176" customFormat="1" customHeight="1" spans="1:10">
      <c r="A136" s="187" t="s">
        <v>2721</v>
      </c>
      <c r="B136" s="196" t="s">
        <v>4791</v>
      </c>
      <c r="C136" s="189">
        <f t="shared" si="20"/>
        <v>0</v>
      </c>
      <c r="D136" s="189"/>
      <c r="E136" s="189"/>
      <c r="F136" s="201">
        <v>0</v>
      </c>
      <c r="G136" s="189"/>
      <c r="H136" s="189"/>
      <c r="I136" s="189"/>
      <c r="J136" s="189"/>
    </row>
    <row r="137" s="176" customFormat="1" customHeight="1" spans="1:10">
      <c r="A137" s="187" t="s">
        <v>719</v>
      </c>
      <c r="B137" s="196" t="s">
        <v>4792</v>
      </c>
      <c r="C137" s="189">
        <f t="shared" si="20"/>
        <v>0</v>
      </c>
      <c r="D137" s="189"/>
      <c r="E137" s="189"/>
      <c r="F137" s="201">
        <v>0</v>
      </c>
      <c r="G137" s="189"/>
      <c r="H137" s="189"/>
      <c r="I137" s="189"/>
      <c r="J137" s="189"/>
    </row>
    <row r="138" s="176" customFormat="1" customHeight="1" spans="1:10">
      <c r="A138" s="187" t="s">
        <v>720</v>
      </c>
      <c r="B138" s="196" t="s">
        <v>4793</v>
      </c>
      <c r="C138" s="189">
        <f t="shared" si="20"/>
        <v>61</v>
      </c>
      <c r="D138" s="189"/>
      <c r="E138" s="189"/>
      <c r="F138" s="201">
        <v>61</v>
      </c>
      <c r="G138" s="189"/>
      <c r="H138" s="189"/>
      <c r="I138" s="189"/>
      <c r="J138" s="189"/>
    </row>
    <row r="139" s="176" customFormat="1" customHeight="1" spans="1:10">
      <c r="A139" s="187" t="s">
        <v>721</v>
      </c>
      <c r="B139" s="196" t="s">
        <v>4794</v>
      </c>
      <c r="C139" s="189">
        <f t="shared" si="20"/>
        <v>100</v>
      </c>
      <c r="D139" s="189">
        <v>100</v>
      </c>
      <c r="E139" s="189"/>
      <c r="F139" s="201">
        <v>0</v>
      </c>
      <c r="G139" s="189"/>
      <c r="H139" s="189"/>
      <c r="I139" s="189"/>
      <c r="J139" s="189"/>
    </row>
    <row r="140" s="176" customFormat="1" customHeight="1" spans="1:10">
      <c r="A140" s="187" t="s">
        <v>722</v>
      </c>
      <c r="B140" s="196" t="s">
        <v>4795</v>
      </c>
      <c r="C140" s="189">
        <f t="shared" si="20"/>
        <v>0</v>
      </c>
      <c r="D140" s="189">
        <v>0</v>
      </c>
      <c r="E140" s="189"/>
      <c r="F140" s="201">
        <v>0</v>
      </c>
      <c r="G140" s="189"/>
      <c r="H140" s="189"/>
      <c r="I140" s="189"/>
      <c r="J140" s="189"/>
    </row>
    <row r="141" s="176" customFormat="1" customHeight="1" spans="1:10">
      <c r="A141" s="187" t="s">
        <v>723</v>
      </c>
      <c r="B141" s="196" t="s">
        <v>4796</v>
      </c>
      <c r="C141" s="189">
        <f t="shared" si="20"/>
        <v>0</v>
      </c>
      <c r="D141" s="189">
        <v>0</v>
      </c>
      <c r="E141" s="189"/>
      <c r="F141" s="201">
        <v>0</v>
      </c>
      <c r="G141" s="189"/>
      <c r="H141" s="189"/>
      <c r="I141" s="189"/>
      <c r="J141" s="189"/>
    </row>
    <row r="142" s="176" customFormat="1" customHeight="1" spans="1:10">
      <c r="A142" s="187" t="s">
        <v>724</v>
      </c>
      <c r="B142" s="196" t="s">
        <v>4797</v>
      </c>
      <c r="C142" s="189">
        <f t="shared" si="20"/>
        <v>7</v>
      </c>
      <c r="D142" s="189">
        <v>7</v>
      </c>
      <c r="E142" s="189"/>
      <c r="F142" s="201">
        <v>0</v>
      </c>
      <c r="G142" s="189"/>
      <c r="H142" s="189"/>
      <c r="I142" s="189"/>
      <c r="J142" s="189"/>
    </row>
    <row r="143" s="176" customFormat="1" customHeight="1" spans="1:10">
      <c r="A143" s="187" t="s">
        <v>725</v>
      </c>
      <c r="B143" s="196" t="s">
        <v>4798</v>
      </c>
      <c r="C143" s="189">
        <f t="shared" si="20"/>
        <v>0</v>
      </c>
      <c r="D143" s="189"/>
      <c r="E143" s="189"/>
      <c r="F143" s="189"/>
      <c r="G143" s="189"/>
      <c r="H143" s="189">
        <v>0</v>
      </c>
      <c r="I143" s="189"/>
      <c r="J143" s="189"/>
    </row>
    <row r="144" s="175" customFormat="1" customHeight="1" spans="1:10">
      <c r="A144" s="184" t="s">
        <v>726</v>
      </c>
      <c r="B144" s="185" t="s">
        <v>4799</v>
      </c>
      <c r="C144" s="186">
        <f t="shared" ref="C144:J144" si="21">SUM(C145:C150)</f>
        <v>5576</v>
      </c>
      <c r="D144" s="186">
        <f t="shared" si="21"/>
        <v>3382</v>
      </c>
      <c r="E144" s="186">
        <f t="shared" si="21"/>
        <v>0</v>
      </c>
      <c r="F144" s="186">
        <f t="shared" si="21"/>
        <v>1208</v>
      </c>
      <c r="G144" s="186">
        <f t="shared" si="21"/>
        <v>0</v>
      </c>
      <c r="H144" s="186">
        <f t="shared" si="21"/>
        <v>75</v>
      </c>
      <c r="I144" s="186">
        <f t="shared" si="21"/>
        <v>0</v>
      </c>
      <c r="J144" s="186">
        <f t="shared" si="21"/>
        <v>911</v>
      </c>
    </row>
    <row r="145" s="176" customFormat="1" customHeight="1" spans="1:10">
      <c r="A145" s="187" t="s">
        <v>728</v>
      </c>
      <c r="B145" s="196" t="s">
        <v>4800</v>
      </c>
      <c r="C145" s="189">
        <f t="shared" ref="C145:C150" si="22">SUM(D145:J145)</f>
        <v>2693</v>
      </c>
      <c r="D145" s="189">
        <v>2693</v>
      </c>
      <c r="E145" s="189"/>
      <c r="F145" s="201">
        <v>0</v>
      </c>
      <c r="G145" s="189"/>
      <c r="H145" s="189">
        <v>0</v>
      </c>
      <c r="I145" s="189"/>
      <c r="J145" s="189"/>
    </row>
    <row r="146" s="176" customFormat="1" customHeight="1" spans="1:10">
      <c r="A146" s="187" t="s">
        <v>730</v>
      </c>
      <c r="B146" s="196" t="s">
        <v>4801</v>
      </c>
      <c r="C146" s="189">
        <f t="shared" si="22"/>
        <v>0</v>
      </c>
      <c r="D146" s="189">
        <v>0</v>
      </c>
      <c r="E146" s="189"/>
      <c r="F146" s="201">
        <v>0</v>
      </c>
      <c r="G146" s="189"/>
      <c r="H146" s="189">
        <v>0</v>
      </c>
      <c r="I146" s="189"/>
      <c r="J146" s="189"/>
    </row>
    <row r="147" s="176" customFormat="1" customHeight="1" spans="1:10">
      <c r="A147" s="187" t="s">
        <v>732</v>
      </c>
      <c r="B147" s="196" t="s">
        <v>4802</v>
      </c>
      <c r="C147" s="189">
        <f t="shared" si="22"/>
        <v>1919</v>
      </c>
      <c r="D147" s="189">
        <v>0</v>
      </c>
      <c r="E147" s="189"/>
      <c r="F147" s="201">
        <v>933</v>
      </c>
      <c r="G147" s="189"/>
      <c r="H147" s="189">
        <v>75</v>
      </c>
      <c r="I147" s="189"/>
      <c r="J147" s="189">
        <v>911</v>
      </c>
    </row>
    <row r="148" s="176" customFormat="1" customHeight="1" spans="1:10">
      <c r="A148" s="187" t="s">
        <v>734</v>
      </c>
      <c r="B148" s="196" t="s">
        <v>4803</v>
      </c>
      <c r="C148" s="189">
        <f t="shared" si="22"/>
        <v>547</v>
      </c>
      <c r="D148" s="189">
        <v>492</v>
      </c>
      <c r="E148" s="189"/>
      <c r="F148" s="201">
        <v>55</v>
      </c>
      <c r="G148" s="189"/>
      <c r="H148" s="189">
        <v>0</v>
      </c>
      <c r="I148" s="189"/>
      <c r="J148" s="189"/>
    </row>
    <row r="149" s="176" customFormat="1" customHeight="1" spans="1:10">
      <c r="A149" s="187" t="s">
        <v>736</v>
      </c>
      <c r="B149" s="196" t="s">
        <v>4804</v>
      </c>
      <c r="C149" s="189">
        <f t="shared" si="22"/>
        <v>0</v>
      </c>
      <c r="D149" s="189">
        <v>0</v>
      </c>
      <c r="E149" s="189"/>
      <c r="F149" s="201">
        <v>0</v>
      </c>
      <c r="G149" s="189"/>
      <c r="H149" s="189">
        <v>0</v>
      </c>
      <c r="I149" s="189"/>
      <c r="J149" s="189"/>
    </row>
    <row r="150" s="176" customFormat="1" customHeight="1" spans="1:10">
      <c r="A150" s="187" t="s">
        <v>738</v>
      </c>
      <c r="B150" s="196" t="s">
        <v>4805</v>
      </c>
      <c r="C150" s="189">
        <f t="shared" si="22"/>
        <v>417</v>
      </c>
      <c r="D150" s="189">
        <v>197</v>
      </c>
      <c r="E150" s="189"/>
      <c r="F150" s="201">
        <v>220</v>
      </c>
      <c r="G150" s="189"/>
      <c r="H150" s="189">
        <v>0</v>
      </c>
      <c r="I150" s="189"/>
      <c r="J150" s="189"/>
    </row>
    <row r="151" s="175" customFormat="1" customHeight="1" spans="1:10">
      <c r="A151" s="184" t="s">
        <v>740</v>
      </c>
      <c r="B151" s="185" t="s">
        <v>4806</v>
      </c>
      <c r="C151" s="186">
        <f t="shared" ref="C151:J151" si="23">SUM(C152:C159)</f>
        <v>62702</v>
      </c>
      <c r="D151" s="186">
        <f t="shared" si="23"/>
        <v>7015</v>
      </c>
      <c r="E151" s="186">
        <f t="shared" si="23"/>
        <v>2370</v>
      </c>
      <c r="F151" s="186">
        <f t="shared" si="23"/>
        <v>13603</v>
      </c>
      <c r="G151" s="186">
        <f t="shared" si="23"/>
        <v>0</v>
      </c>
      <c r="H151" s="186">
        <f t="shared" si="23"/>
        <v>9155</v>
      </c>
      <c r="I151" s="186">
        <f t="shared" si="23"/>
        <v>0</v>
      </c>
      <c r="J151" s="186">
        <f t="shared" si="23"/>
        <v>30559</v>
      </c>
    </row>
    <row r="152" s="176" customFormat="1" customHeight="1" spans="1:10">
      <c r="A152" s="187" t="s">
        <v>742</v>
      </c>
      <c r="B152" s="196" t="s">
        <v>4807</v>
      </c>
      <c r="C152" s="189">
        <f t="shared" ref="C152:C159" si="24">SUM(D152:J152)</f>
        <v>9186</v>
      </c>
      <c r="D152" s="189">
        <v>0</v>
      </c>
      <c r="E152" s="189">
        <v>150</v>
      </c>
      <c r="F152" s="204">
        <v>1307</v>
      </c>
      <c r="G152" s="189"/>
      <c r="H152" s="189">
        <v>4384</v>
      </c>
      <c r="I152" s="189"/>
      <c r="J152" s="189">
        <v>3345</v>
      </c>
    </row>
    <row r="153" s="176" customFormat="1" customHeight="1" spans="1:10">
      <c r="A153" s="187" t="s">
        <v>744</v>
      </c>
      <c r="B153" s="196" t="s">
        <v>4808</v>
      </c>
      <c r="C153" s="189">
        <f t="shared" si="24"/>
        <v>6925</v>
      </c>
      <c r="D153" s="189">
        <v>0</v>
      </c>
      <c r="E153" s="189">
        <v>788</v>
      </c>
      <c r="F153" s="204">
        <v>3891</v>
      </c>
      <c r="G153" s="189"/>
      <c r="H153" s="189">
        <v>2241</v>
      </c>
      <c r="I153" s="189"/>
      <c r="J153" s="189">
        <v>5</v>
      </c>
    </row>
    <row r="154" s="176" customFormat="1" customHeight="1" spans="1:10">
      <c r="A154" s="187" t="s">
        <v>746</v>
      </c>
      <c r="B154" s="196" t="s">
        <v>4809</v>
      </c>
      <c r="C154" s="189">
        <f t="shared" si="24"/>
        <v>3458</v>
      </c>
      <c r="D154" s="189">
        <v>0</v>
      </c>
      <c r="E154" s="189">
        <f>230-159</f>
        <v>71</v>
      </c>
      <c r="F154" s="204">
        <v>2543</v>
      </c>
      <c r="G154" s="189"/>
      <c r="H154" s="189">
        <v>558</v>
      </c>
      <c r="I154" s="189"/>
      <c r="J154" s="189">
        <v>286</v>
      </c>
    </row>
    <row r="155" s="176" customFormat="1" customHeight="1" spans="1:10">
      <c r="A155" s="187" t="s">
        <v>748</v>
      </c>
      <c r="B155" s="196" t="s">
        <v>4810</v>
      </c>
      <c r="C155" s="189">
        <f t="shared" si="24"/>
        <v>33586</v>
      </c>
      <c r="D155" s="189">
        <v>3226</v>
      </c>
      <c r="E155" s="189">
        <v>40</v>
      </c>
      <c r="F155" s="201">
        <v>3548</v>
      </c>
      <c r="G155" s="189"/>
      <c r="H155" s="189">
        <v>602</v>
      </c>
      <c r="I155" s="189"/>
      <c r="J155" s="189">
        <v>26170</v>
      </c>
    </row>
    <row r="156" s="176" customFormat="1" customHeight="1" spans="1:10">
      <c r="A156" s="187" t="s">
        <v>750</v>
      </c>
      <c r="B156" s="196" t="s">
        <v>4811</v>
      </c>
      <c r="C156" s="189">
        <f t="shared" si="24"/>
        <v>7133</v>
      </c>
      <c r="D156" s="189">
        <v>3789</v>
      </c>
      <c r="E156" s="189">
        <v>1321</v>
      </c>
      <c r="F156" s="204">
        <v>718</v>
      </c>
      <c r="G156" s="189"/>
      <c r="H156" s="189">
        <v>1305</v>
      </c>
      <c r="I156" s="189"/>
      <c r="J156" s="189"/>
    </row>
    <row r="157" s="176" customFormat="1" customHeight="1" spans="1:10">
      <c r="A157" s="187" t="s">
        <v>752</v>
      </c>
      <c r="B157" s="196" t="s">
        <v>4812</v>
      </c>
      <c r="C157" s="189">
        <f t="shared" si="24"/>
        <v>1242</v>
      </c>
      <c r="D157" s="189">
        <v>0</v>
      </c>
      <c r="E157" s="189"/>
      <c r="F157" s="201">
        <v>427</v>
      </c>
      <c r="G157" s="189"/>
      <c r="H157" s="189">
        <v>62</v>
      </c>
      <c r="I157" s="189"/>
      <c r="J157" s="189">
        <v>753</v>
      </c>
    </row>
    <row r="158" s="176" customFormat="1" customHeight="1" spans="1:10">
      <c r="A158" s="187" t="s">
        <v>754</v>
      </c>
      <c r="B158" s="196" t="s">
        <v>4813</v>
      </c>
      <c r="C158" s="189">
        <f t="shared" si="24"/>
        <v>169</v>
      </c>
      <c r="D158" s="189">
        <v>0</v>
      </c>
      <c r="E158" s="189"/>
      <c r="F158" s="201">
        <v>169</v>
      </c>
      <c r="G158" s="189"/>
      <c r="H158" s="189">
        <v>0</v>
      </c>
      <c r="I158" s="189"/>
      <c r="J158" s="189"/>
    </row>
    <row r="159" s="176" customFormat="1" customHeight="1" spans="1:10">
      <c r="A159" s="187" t="s">
        <v>756</v>
      </c>
      <c r="B159" s="196" t="s">
        <v>4814</v>
      </c>
      <c r="C159" s="189">
        <f t="shared" si="24"/>
        <v>1003</v>
      </c>
      <c r="D159" s="189">
        <v>0</v>
      </c>
      <c r="E159" s="189"/>
      <c r="F159" s="201">
        <v>1000</v>
      </c>
      <c r="G159" s="189"/>
      <c r="H159" s="189">
        <v>3</v>
      </c>
      <c r="I159" s="189"/>
      <c r="J159" s="189"/>
    </row>
    <row r="160" s="175" customFormat="1" customHeight="1" spans="1:10">
      <c r="A160" s="184" t="s">
        <v>758</v>
      </c>
      <c r="B160" s="185" t="s">
        <v>4815</v>
      </c>
      <c r="C160" s="186">
        <f t="shared" ref="C160:J160" si="25">SUM(C161:C165)</f>
        <v>5106</v>
      </c>
      <c r="D160" s="186">
        <f t="shared" si="25"/>
        <v>0</v>
      </c>
      <c r="E160" s="186">
        <f t="shared" si="25"/>
        <v>66</v>
      </c>
      <c r="F160" s="186">
        <f t="shared" si="25"/>
        <v>2392</v>
      </c>
      <c r="G160" s="186">
        <f t="shared" si="25"/>
        <v>0</v>
      </c>
      <c r="H160" s="186">
        <f t="shared" si="25"/>
        <v>2356</v>
      </c>
      <c r="I160" s="186">
        <f t="shared" si="25"/>
        <v>0</v>
      </c>
      <c r="J160" s="186">
        <f t="shared" si="25"/>
        <v>292</v>
      </c>
    </row>
    <row r="161" s="176" customFormat="1" customHeight="1" spans="1:10">
      <c r="A161" s="187" t="s">
        <v>760</v>
      </c>
      <c r="B161" s="196" t="s">
        <v>4816</v>
      </c>
      <c r="C161" s="189">
        <f t="shared" ref="C161:C165" si="26">SUM(D161:J161)</f>
        <v>4669</v>
      </c>
      <c r="D161" s="189"/>
      <c r="E161" s="189">
        <v>66</v>
      </c>
      <c r="F161" s="204">
        <v>1955</v>
      </c>
      <c r="G161" s="189"/>
      <c r="H161" s="189">
        <v>2356</v>
      </c>
      <c r="I161" s="189"/>
      <c r="J161" s="189">
        <v>292</v>
      </c>
    </row>
    <row r="162" s="176" customFormat="1" customHeight="1" spans="1:10">
      <c r="A162" s="187" t="s">
        <v>762</v>
      </c>
      <c r="B162" s="196" t="s">
        <v>4817</v>
      </c>
      <c r="C162" s="189">
        <f t="shared" si="26"/>
        <v>0</v>
      </c>
      <c r="D162" s="189"/>
      <c r="E162" s="189"/>
      <c r="F162" s="201">
        <v>0</v>
      </c>
      <c r="G162" s="189"/>
      <c r="H162" s="189">
        <v>0</v>
      </c>
      <c r="I162" s="189"/>
      <c r="J162" s="189"/>
    </row>
    <row r="163" s="176" customFormat="1" customHeight="1" spans="1:10">
      <c r="A163" s="187" t="s">
        <v>764</v>
      </c>
      <c r="B163" s="196" t="s">
        <v>4818</v>
      </c>
      <c r="C163" s="189">
        <f t="shared" si="26"/>
        <v>0</v>
      </c>
      <c r="D163" s="189"/>
      <c r="E163" s="189"/>
      <c r="F163" s="201">
        <v>0</v>
      </c>
      <c r="G163" s="189"/>
      <c r="H163" s="189">
        <v>0</v>
      </c>
      <c r="I163" s="189"/>
      <c r="J163" s="189"/>
    </row>
    <row r="164" s="176" customFormat="1" customHeight="1" spans="1:10">
      <c r="A164" s="187" t="s">
        <v>3057</v>
      </c>
      <c r="B164" s="196" t="s">
        <v>4819</v>
      </c>
      <c r="C164" s="189">
        <f t="shared" si="26"/>
        <v>0</v>
      </c>
      <c r="D164" s="189"/>
      <c r="E164" s="189"/>
      <c r="F164" s="201">
        <v>0</v>
      </c>
      <c r="G164" s="189"/>
      <c r="H164" s="189">
        <v>0</v>
      </c>
      <c r="I164" s="189"/>
      <c r="J164" s="189"/>
    </row>
    <row r="165" s="176" customFormat="1" customHeight="1" spans="1:10">
      <c r="A165" s="187" t="s">
        <v>768</v>
      </c>
      <c r="B165" s="196" t="s">
        <v>4820</v>
      </c>
      <c r="C165" s="189">
        <f t="shared" si="26"/>
        <v>437</v>
      </c>
      <c r="D165" s="189">
        <v>0</v>
      </c>
      <c r="E165" s="189"/>
      <c r="F165" s="201">
        <v>437</v>
      </c>
      <c r="G165" s="189"/>
      <c r="H165" s="189">
        <v>0</v>
      </c>
      <c r="I165" s="189"/>
      <c r="J165" s="189"/>
    </row>
    <row r="166" s="175" customFormat="1" customHeight="1" spans="1:10">
      <c r="A166" s="184" t="s">
        <v>770</v>
      </c>
      <c r="B166" s="185" t="s">
        <v>4821</v>
      </c>
      <c r="C166" s="186">
        <f t="shared" ref="C166:J166" si="27">SUM(C167:C173)</f>
        <v>58</v>
      </c>
      <c r="D166" s="186">
        <f t="shared" si="27"/>
        <v>0</v>
      </c>
      <c r="E166" s="186">
        <f t="shared" si="27"/>
        <v>0</v>
      </c>
      <c r="F166" s="186">
        <f t="shared" si="27"/>
        <v>58</v>
      </c>
      <c r="G166" s="186">
        <f t="shared" si="27"/>
        <v>0</v>
      </c>
      <c r="H166" s="186">
        <f t="shared" si="27"/>
        <v>0</v>
      </c>
      <c r="I166" s="186">
        <f t="shared" si="27"/>
        <v>0</v>
      </c>
      <c r="J166" s="186">
        <f t="shared" si="27"/>
        <v>0</v>
      </c>
    </row>
    <row r="167" s="176" customFormat="1" customHeight="1" spans="1:10">
      <c r="A167" s="187" t="s">
        <v>772</v>
      </c>
      <c r="B167" s="196" t="s">
        <v>4822</v>
      </c>
      <c r="C167" s="189">
        <f t="shared" ref="C167:C173" si="28">SUM(D167:J167)</f>
        <v>0</v>
      </c>
      <c r="D167" s="189"/>
      <c r="E167" s="189"/>
      <c r="F167" s="201">
        <v>0</v>
      </c>
      <c r="G167" s="189"/>
      <c r="H167" s="189">
        <v>0</v>
      </c>
      <c r="I167" s="189"/>
      <c r="J167" s="189"/>
    </row>
    <row r="168" s="176" customFormat="1" customHeight="1" spans="1:10">
      <c r="A168" s="187" t="s">
        <v>774</v>
      </c>
      <c r="B168" s="196" t="s">
        <v>4823</v>
      </c>
      <c r="C168" s="189">
        <f t="shared" si="28"/>
        <v>56</v>
      </c>
      <c r="D168" s="189"/>
      <c r="E168" s="189"/>
      <c r="F168" s="201">
        <v>56</v>
      </c>
      <c r="G168" s="189"/>
      <c r="H168" s="189"/>
      <c r="I168" s="189"/>
      <c r="J168" s="189"/>
    </row>
    <row r="169" s="176" customFormat="1" customHeight="1" spans="1:10">
      <c r="A169" s="187" t="s">
        <v>776</v>
      </c>
      <c r="B169" s="196" t="s">
        <v>4824</v>
      </c>
      <c r="C169" s="189">
        <f t="shared" si="28"/>
        <v>0</v>
      </c>
      <c r="D169" s="189"/>
      <c r="E169" s="189"/>
      <c r="F169" s="201">
        <v>0</v>
      </c>
      <c r="G169" s="189"/>
      <c r="H169" s="189">
        <v>0</v>
      </c>
      <c r="I169" s="189"/>
      <c r="J169" s="189"/>
    </row>
    <row r="170" s="176" customFormat="1" customHeight="1" spans="1:10">
      <c r="A170" s="187" t="s">
        <v>778</v>
      </c>
      <c r="B170" s="196" t="s">
        <v>4825</v>
      </c>
      <c r="C170" s="189">
        <f t="shared" si="28"/>
        <v>2</v>
      </c>
      <c r="D170" s="189"/>
      <c r="E170" s="189"/>
      <c r="F170" s="201">
        <v>2</v>
      </c>
      <c r="G170" s="189"/>
      <c r="H170" s="189">
        <v>0</v>
      </c>
      <c r="I170" s="189"/>
      <c r="J170" s="189"/>
    </row>
    <row r="171" s="176" customFormat="1" customHeight="1" spans="1:10">
      <c r="A171" s="187" t="s">
        <v>780</v>
      </c>
      <c r="B171" s="196" t="s">
        <v>4826</v>
      </c>
      <c r="C171" s="189">
        <f t="shared" si="28"/>
        <v>0</v>
      </c>
      <c r="D171" s="189"/>
      <c r="E171" s="189"/>
      <c r="F171" s="201">
        <v>0</v>
      </c>
      <c r="G171" s="189"/>
      <c r="H171" s="189">
        <v>0</v>
      </c>
      <c r="I171" s="189"/>
      <c r="J171" s="189"/>
    </row>
    <row r="172" s="176" customFormat="1" customHeight="1" spans="1:10">
      <c r="A172" s="187" t="s">
        <v>782</v>
      </c>
      <c r="B172" s="196" t="s">
        <v>4827</v>
      </c>
      <c r="C172" s="189">
        <f t="shared" si="28"/>
        <v>0</v>
      </c>
      <c r="D172" s="189"/>
      <c r="E172" s="189"/>
      <c r="F172" s="201">
        <v>0</v>
      </c>
      <c r="G172" s="189"/>
      <c r="H172" s="189">
        <v>0</v>
      </c>
      <c r="I172" s="189"/>
      <c r="J172" s="189"/>
    </row>
    <row r="173" s="176" customFormat="1" customHeight="1" spans="1:10">
      <c r="A173" s="187" t="s">
        <v>784</v>
      </c>
      <c r="B173" s="196" t="s">
        <v>4828</v>
      </c>
      <c r="C173" s="189">
        <f t="shared" si="28"/>
        <v>0</v>
      </c>
      <c r="D173" s="189"/>
      <c r="E173" s="189"/>
      <c r="F173" s="201">
        <v>0</v>
      </c>
      <c r="G173" s="189"/>
      <c r="H173" s="189">
        <v>0</v>
      </c>
      <c r="I173" s="189"/>
      <c r="J173" s="189"/>
    </row>
    <row r="174" s="175" customFormat="1" customHeight="1" spans="1:10">
      <c r="A174" s="184" t="s">
        <v>786</v>
      </c>
      <c r="B174" s="185" t="s">
        <v>4829</v>
      </c>
      <c r="C174" s="186">
        <f t="shared" ref="C174:J174" si="29">SUM(C175:C177)</f>
        <v>243</v>
      </c>
      <c r="D174" s="186">
        <f t="shared" si="29"/>
        <v>98</v>
      </c>
      <c r="E174" s="186">
        <f t="shared" si="29"/>
        <v>0</v>
      </c>
      <c r="F174" s="186">
        <f t="shared" si="29"/>
        <v>145</v>
      </c>
      <c r="G174" s="186">
        <f t="shared" si="29"/>
        <v>0</v>
      </c>
      <c r="H174" s="186">
        <f t="shared" si="29"/>
        <v>0</v>
      </c>
      <c r="I174" s="186">
        <f t="shared" si="29"/>
        <v>0</v>
      </c>
      <c r="J174" s="186">
        <f t="shared" si="29"/>
        <v>0</v>
      </c>
    </row>
    <row r="175" s="176" customFormat="1" customHeight="1" spans="1:10">
      <c r="A175" s="187" t="s">
        <v>788</v>
      </c>
      <c r="B175" s="196" t="s">
        <v>4830</v>
      </c>
      <c r="C175" s="189">
        <f t="shared" ref="C175:C177" si="30">SUM(D175:J175)</f>
        <v>243</v>
      </c>
      <c r="D175" s="189">
        <v>98</v>
      </c>
      <c r="E175" s="189"/>
      <c r="F175" s="201">
        <v>145</v>
      </c>
      <c r="G175" s="189"/>
      <c r="H175" s="189"/>
      <c r="I175" s="189"/>
      <c r="J175" s="189"/>
    </row>
    <row r="176" s="176" customFormat="1" customHeight="1" spans="1:10">
      <c r="A176" s="187" t="s">
        <v>790</v>
      </c>
      <c r="B176" s="196" t="s">
        <v>4831</v>
      </c>
      <c r="C176" s="189">
        <f t="shared" si="30"/>
        <v>0</v>
      </c>
      <c r="D176" s="189">
        <v>0</v>
      </c>
      <c r="E176" s="189"/>
      <c r="F176" s="201">
        <v>0</v>
      </c>
      <c r="G176" s="189"/>
      <c r="H176" s="189"/>
      <c r="I176" s="189"/>
      <c r="J176" s="189"/>
    </row>
    <row r="177" s="176" customFormat="1" customHeight="1" spans="1:10">
      <c r="A177" s="187" t="s">
        <v>792</v>
      </c>
      <c r="B177" s="196" t="s">
        <v>4832</v>
      </c>
      <c r="C177" s="189">
        <f t="shared" si="30"/>
        <v>0</v>
      </c>
      <c r="D177" s="189">
        <v>0</v>
      </c>
      <c r="E177" s="189"/>
      <c r="F177" s="201">
        <v>0</v>
      </c>
      <c r="G177" s="189"/>
      <c r="H177" s="189"/>
      <c r="I177" s="189"/>
      <c r="J177" s="189"/>
    </row>
    <row r="178" s="175" customFormat="1" customHeight="1" spans="1:10">
      <c r="A178" s="184" t="s">
        <v>794</v>
      </c>
      <c r="B178" s="185" t="s">
        <v>4833</v>
      </c>
      <c r="C178" s="186">
        <f t="shared" ref="C178:J178" si="31">SUM(C179:C183)</f>
        <v>286</v>
      </c>
      <c r="D178" s="186">
        <f t="shared" si="31"/>
        <v>0</v>
      </c>
      <c r="E178" s="186">
        <f t="shared" si="31"/>
        <v>0</v>
      </c>
      <c r="F178" s="186">
        <f t="shared" si="31"/>
        <v>286</v>
      </c>
      <c r="G178" s="186">
        <f t="shared" si="31"/>
        <v>0</v>
      </c>
      <c r="H178" s="186">
        <f t="shared" si="31"/>
        <v>0</v>
      </c>
      <c r="I178" s="186">
        <f t="shared" si="31"/>
        <v>0</v>
      </c>
      <c r="J178" s="186">
        <f t="shared" si="31"/>
        <v>0</v>
      </c>
    </row>
    <row r="179" s="176" customFormat="1" customHeight="1" spans="1:10">
      <c r="A179" s="187" t="s">
        <v>796</v>
      </c>
      <c r="B179" s="196" t="s">
        <v>4834</v>
      </c>
      <c r="C179" s="189">
        <f t="shared" ref="C179:C183" si="32">SUM(D179:J179)</f>
        <v>0</v>
      </c>
      <c r="D179" s="189">
        <v>0</v>
      </c>
      <c r="E179" s="189"/>
      <c r="F179" s="201">
        <v>0</v>
      </c>
      <c r="G179" s="189"/>
      <c r="H179" s="189">
        <v>0</v>
      </c>
      <c r="I179" s="189"/>
      <c r="J179" s="189"/>
    </row>
    <row r="180" s="176" customFormat="1" customHeight="1" spans="1:10">
      <c r="A180" s="187" t="s">
        <v>797</v>
      </c>
      <c r="B180" s="196" t="s">
        <v>4835</v>
      </c>
      <c r="C180" s="189">
        <f t="shared" si="32"/>
        <v>0</v>
      </c>
      <c r="D180" s="189"/>
      <c r="E180" s="189"/>
      <c r="F180" s="201">
        <v>0</v>
      </c>
      <c r="G180" s="189"/>
      <c r="H180" s="189">
        <v>0</v>
      </c>
      <c r="I180" s="189"/>
      <c r="J180" s="189"/>
    </row>
    <row r="181" s="176" customFormat="1" customHeight="1" spans="1:10">
      <c r="A181" s="187" t="s">
        <v>798</v>
      </c>
      <c r="B181" s="196" t="s">
        <v>4836</v>
      </c>
      <c r="C181" s="189">
        <f t="shared" si="32"/>
        <v>286</v>
      </c>
      <c r="D181" s="189"/>
      <c r="E181" s="189"/>
      <c r="F181" s="201">
        <v>286</v>
      </c>
      <c r="G181" s="189"/>
      <c r="H181" s="189"/>
      <c r="I181" s="189"/>
      <c r="J181" s="189"/>
    </row>
    <row r="182" s="176" customFormat="1" customHeight="1" spans="1:10">
      <c r="A182" s="187" t="s">
        <v>799</v>
      </c>
      <c r="B182" s="196" t="s">
        <v>4837</v>
      </c>
      <c r="C182" s="189">
        <f t="shared" si="32"/>
        <v>0</v>
      </c>
      <c r="D182" s="189"/>
      <c r="E182" s="189"/>
      <c r="F182" s="201">
        <v>0</v>
      </c>
      <c r="G182" s="189"/>
      <c r="H182" s="189">
        <v>0</v>
      </c>
      <c r="I182" s="189"/>
      <c r="J182" s="189"/>
    </row>
    <row r="183" s="176" customFormat="1" customHeight="1" spans="1:10">
      <c r="A183" s="187" t="s">
        <v>800</v>
      </c>
      <c r="B183" s="196" t="s">
        <v>4838</v>
      </c>
      <c r="C183" s="189">
        <f t="shared" si="32"/>
        <v>0</v>
      </c>
      <c r="D183" s="189">
        <v>0</v>
      </c>
      <c r="E183" s="189"/>
      <c r="F183" s="201">
        <v>0</v>
      </c>
      <c r="G183" s="189"/>
      <c r="H183" s="189">
        <v>0</v>
      </c>
      <c r="I183" s="189"/>
      <c r="J183" s="189"/>
    </row>
    <row r="184" s="175" customFormat="1" customHeight="1" spans="1:10">
      <c r="A184" s="184" t="s">
        <v>801</v>
      </c>
      <c r="B184" s="185" t="s">
        <v>4839</v>
      </c>
      <c r="C184" s="186">
        <f t="shared" ref="C184:J184" si="33">SUM(C185:C193)</f>
        <v>0</v>
      </c>
      <c r="D184" s="186">
        <f t="shared" si="33"/>
        <v>0</v>
      </c>
      <c r="E184" s="186">
        <f t="shared" si="33"/>
        <v>0</v>
      </c>
      <c r="F184" s="186">
        <f t="shared" si="33"/>
        <v>0</v>
      </c>
      <c r="G184" s="186">
        <f t="shared" si="33"/>
        <v>0</v>
      </c>
      <c r="H184" s="186">
        <f t="shared" si="33"/>
        <v>0</v>
      </c>
      <c r="I184" s="186">
        <f t="shared" si="33"/>
        <v>0</v>
      </c>
      <c r="J184" s="186">
        <f t="shared" si="33"/>
        <v>0</v>
      </c>
    </row>
    <row r="185" s="176" customFormat="1" customHeight="1" spans="1:10">
      <c r="A185" s="187" t="s">
        <v>803</v>
      </c>
      <c r="B185" s="196" t="s">
        <v>4840</v>
      </c>
      <c r="C185" s="189">
        <f t="shared" ref="C185:C193" si="34">SUM(D185:J185)</f>
        <v>0</v>
      </c>
      <c r="D185" s="189">
        <v>0</v>
      </c>
      <c r="E185" s="189"/>
      <c r="F185" s="189">
        <v>0</v>
      </c>
      <c r="G185" s="189"/>
      <c r="H185" s="189"/>
      <c r="I185" s="189"/>
      <c r="J185" s="189"/>
    </row>
    <row r="186" s="176" customFormat="1" customHeight="1" spans="1:10">
      <c r="A186" s="187" t="s">
        <v>805</v>
      </c>
      <c r="B186" s="196" t="s">
        <v>4841</v>
      </c>
      <c r="C186" s="189">
        <f t="shared" si="34"/>
        <v>0</v>
      </c>
      <c r="D186" s="189">
        <v>0</v>
      </c>
      <c r="E186" s="189"/>
      <c r="F186" s="189">
        <v>0</v>
      </c>
      <c r="G186" s="189"/>
      <c r="H186" s="189"/>
      <c r="I186" s="189"/>
      <c r="J186" s="189"/>
    </row>
    <row r="187" s="176" customFormat="1" customHeight="1" spans="1:10">
      <c r="A187" s="187" t="s">
        <v>807</v>
      </c>
      <c r="B187" s="196" t="s">
        <v>4842</v>
      </c>
      <c r="C187" s="189">
        <f t="shared" si="34"/>
        <v>0</v>
      </c>
      <c r="D187" s="189">
        <v>0</v>
      </c>
      <c r="E187" s="189"/>
      <c r="F187" s="189">
        <v>0</v>
      </c>
      <c r="G187" s="189"/>
      <c r="H187" s="189"/>
      <c r="I187" s="189"/>
      <c r="J187" s="189"/>
    </row>
    <row r="188" s="176" customFormat="1" customHeight="1" spans="1:10">
      <c r="A188" s="187" t="s">
        <v>809</v>
      </c>
      <c r="B188" s="196" t="s">
        <v>4843</v>
      </c>
      <c r="C188" s="189">
        <f t="shared" si="34"/>
        <v>0</v>
      </c>
      <c r="D188" s="189">
        <v>0</v>
      </c>
      <c r="E188" s="189"/>
      <c r="F188" s="189">
        <v>0</v>
      </c>
      <c r="G188" s="189"/>
      <c r="H188" s="189"/>
      <c r="I188" s="189"/>
      <c r="J188" s="189"/>
    </row>
    <row r="189" s="176" customFormat="1" customHeight="1" spans="1:10">
      <c r="A189" s="187" t="s">
        <v>811</v>
      </c>
      <c r="B189" s="196" t="s">
        <v>4844</v>
      </c>
      <c r="C189" s="189">
        <f t="shared" si="34"/>
        <v>0</v>
      </c>
      <c r="D189" s="189">
        <v>0</v>
      </c>
      <c r="E189" s="189"/>
      <c r="F189" s="189">
        <v>0</v>
      </c>
      <c r="G189" s="189"/>
      <c r="H189" s="189"/>
      <c r="I189" s="189"/>
      <c r="J189" s="189"/>
    </row>
    <row r="190" s="176" customFormat="1" customHeight="1" spans="1:10">
      <c r="A190" s="187" t="s">
        <v>813</v>
      </c>
      <c r="B190" s="196" t="s">
        <v>4845</v>
      </c>
      <c r="C190" s="189">
        <f t="shared" si="34"/>
        <v>0</v>
      </c>
      <c r="D190" s="189">
        <v>0</v>
      </c>
      <c r="E190" s="189"/>
      <c r="F190" s="189">
        <v>0</v>
      </c>
      <c r="G190" s="189"/>
      <c r="H190" s="189"/>
      <c r="I190" s="189"/>
      <c r="J190" s="189"/>
    </row>
    <row r="191" s="176" customFormat="1" customHeight="1" spans="1:10">
      <c r="A191" s="187" t="s">
        <v>814</v>
      </c>
      <c r="B191" s="196" t="s">
        <v>4846</v>
      </c>
      <c r="C191" s="189">
        <f t="shared" si="34"/>
        <v>0</v>
      </c>
      <c r="D191" s="189">
        <v>0</v>
      </c>
      <c r="E191" s="189"/>
      <c r="F191" s="189">
        <v>0</v>
      </c>
      <c r="G191" s="189"/>
      <c r="H191" s="189"/>
      <c r="I191" s="189"/>
      <c r="J191" s="189"/>
    </row>
    <row r="192" s="176" customFormat="1" customHeight="1" spans="1:10">
      <c r="A192" s="187" t="s">
        <v>816</v>
      </c>
      <c r="B192" s="196" t="s">
        <v>4847</v>
      </c>
      <c r="C192" s="189">
        <f t="shared" si="34"/>
        <v>0</v>
      </c>
      <c r="D192" s="189">
        <v>0</v>
      </c>
      <c r="E192" s="189"/>
      <c r="F192" s="189">
        <v>0</v>
      </c>
      <c r="G192" s="189"/>
      <c r="H192" s="189"/>
      <c r="I192" s="189"/>
      <c r="J192" s="189"/>
    </row>
    <row r="193" s="176" customFormat="1" customHeight="1" spans="1:10">
      <c r="A193" s="187" t="s">
        <v>818</v>
      </c>
      <c r="B193" s="196" t="s">
        <v>4848</v>
      </c>
      <c r="C193" s="189">
        <f t="shared" si="34"/>
        <v>0</v>
      </c>
      <c r="D193" s="189">
        <v>0</v>
      </c>
      <c r="E193" s="189"/>
      <c r="F193" s="189">
        <v>0</v>
      </c>
      <c r="G193" s="189"/>
      <c r="H193" s="189"/>
      <c r="I193" s="189"/>
      <c r="J193" s="189"/>
    </row>
    <row r="194" s="175" customFormat="1" customHeight="1" spans="1:10">
      <c r="A194" s="184" t="s">
        <v>820</v>
      </c>
      <c r="B194" s="185" t="s">
        <v>4849</v>
      </c>
      <c r="C194" s="186">
        <f t="shared" ref="C194:J194" si="35">SUM(C195:C197)</f>
        <v>1230</v>
      </c>
      <c r="D194" s="186">
        <f t="shared" si="35"/>
        <v>945</v>
      </c>
      <c r="E194" s="186">
        <f t="shared" si="35"/>
        <v>108</v>
      </c>
      <c r="F194" s="186">
        <f t="shared" si="35"/>
        <v>163</v>
      </c>
      <c r="G194" s="186">
        <f t="shared" si="35"/>
        <v>0</v>
      </c>
      <c r="H194" s="186">
        <f t="shared" si="35"/>
        <v>14</v>
      </c>
      <c r="I194" s="186">
        <f t="shared" si="35"/>
        <v>0</v>
      </c>
      <c r="J194" s="186">
        <f t="shared" si="35"/>
        <v>0</v>
      </c>
    </row>
    <row r="195" s="176" customFormat="1" customHeight="1" spans="1:10">
      <c r="A195" s="187" t="s">
        <v>822</v>
      </c>
      <c r="B195" s="196" t="s">
        <v>4850</v>
      </c>
      <c r="C195" s="189">
        <f t="shared" ref="C195:C197" si="36">SUM(D195:J195)</f>
        <v>1145</v>
      </c>
      <c r="D195" s="189">
        <v>860</v>
      </c>
      <c r="E195" s="189">
        <v>108</v>
      </c>
      <c r="F195" s="201">
        <v>163</v>
      </c>
      <c r="G195" s="189"/>
      <c r="H195" s="189">
        <v>14</v>
      </c>
      <c r="I195" s="189"/>
      <c r="J195" s="189"/>
    </row>
    <row r="196" s="176" customFormat="1" customHeight="1" spans="1:10">
      <c r="A196" s="187" t="s">
        <v>3302</v>
      </c>
      <c r="B196" s="196" t="s">
        <v>4851</v>
      </c>
      <c r="C196" s="189">
        <f t="shared" si="36"/>
        <v>85</v>
      </c>
      <c r="D196" s="189">
        <v>85</v>
      </c>
      <c r="E196" s="189"/>
      <c r="F196" s="189"/>
      <c r="G196" s="189"/>
      <c r="H196" s="189"/>
      <c r="I196" s="189"/>
      <c r="J196" s="189"/>
    </row>
    <row r="197" s="176" customFormat="1" customHeight="1" spans="1:10">
      <c r="A197" s="187" t="s">
        <v>826</v>
      </c>
      <c r="B197" s="196" t="s">
        <v>4852</v>
      </c>
      <c r="C197" s="189">
        <f t="shared" si="36"/>
        <v>0</v>
      </c>
      <c r="D197" s="189">
        <v>0</v>
      </c>
      <c r="E197" s="189"/>
      <c r="F197" s="189">
        <v>0</v>
      </c>
      <c r="G197" s="189"/>
      <c r="H197" s="189"/>
      <c r="I197" s="189"/>
      <c r="J197" s="189"/>
    </row>
    <row r="198" s="175" customFormat="1" customHeight="1" spans="1:10">
      <c r="A198" s="184" t="s">
        <v>828</v>
      </c>
      <c r="B198" s="185" t="s">
        <v>4853</v>
      </c>
      <c r="C198" s="186">
        <f t="shared" ref="C198:J198" si="37">SUM(C199:C201)</f>
        <v>10954</v>
      </c>
      <c r="D198" s="186">
        <f t="shared" si="37"/>
        <v>9860</v>
      </c>
      <c r="E198" s="186">
        <f t="shared" si="37"/>
        <v>0</v>
      </c>
      <c r="F198" s="186">
        <f t="shared" si="37"/>
        <v>359</v>
      </c>
      <c r="G198" s="186">
        <f t="shared" si="37"/>
        <v>0</v>
      </c>
      <c r="H198" s="186">
        <f t="shared" si="37"/>
        <v>252</v>
      </c>
      <c r="I198" s="186">
        <f t="shared" si="37"/>
        <v>0</v>
      </c>
      <c r="J198" s="186">
        <f t="shared" si="37"/>
        <v>483</v>
      </c>
    </row>
    <row r="199" s="176" customFormat="1" ht="24" customHeight="1" spans="1:10">
      <c r="A199" s="187" t="s">
        <v>830</v>
      </c>
      <c r="B199" s="196" t="s">
        <v>4854</v>
      </c>
      <c r="C199" s="189">
        <f t="shared" ref="C199:C201" si="38">SUM(D199:J199)</f>
        <v>842</v>
      </c>
      <c r="D199" s="189"/>
      <c r="E199" s="189"/>
      <c r="F199" s="201">
        <v>359</v>
      </c>
      <c r="G199" s="189"/>
      <c r="H199" s="189"/>
      <c r="I199" s="189"/>
      <c r="J199" s="189">
        <v>483</v>
      </c>
    </row>
    <row r="200" s="176" customFormat="1" customHeight="1" spans="1:10">
      <c r="A200" s="187" t="s">
        <v>832</v>
      </c>
      <c r="B200" s="196" t="s">
        <v>4855</v>
      </c>
      <c r="C200" s="189">
        <f t="shared" si="38"/>
        <v>10112</v>
      </c>
      <c r="D200" s="189">
        <v>9860</v>
      </c>
      <c r="E200" s="189"/>
      <c r="F200" s="189"/>
      <c r="G200" s="189"/>
      <c r="H200" s="189">
        <v>252</v>
      </c>
      <c r="I200" s="189"/>
      <c r="J200" s="189"/>
    </row>
    <row r="201" s="176" customFormat="1" customHeight="1" spans="1:10">
      <c r="A201" s="187" t="s">
        <v>834</v>
      </c>
      <c r="B201" s="196" t="s">
        <v>4856</v>
      </c>
      <c r="C201" s="189">
        <f t="shared" si="38"/>
        <v>0</v>
      </c>
      <c r="D201" s="189"/>
      <c r="E201" s="189"/>
      <c r="F201" s="189"/>
      <c r="G201" s="189"/>
      <c r="H201" s="189"/>
      <c r="I201" s="189"/>
      <c r="J201" s="189"/>
    </row>
    <row r="202" s="175" customFormat="1" customHeight="1" spans="1:10">
      <c r="A202" s="184" t="s">
        <v>836</v>
      </c>
      <c r="B202" s="185" t="s">
        <v>4857</v>
      </c>
      <c r="C202" s="186">
        <f t="shared" ref="C202:J202" si="39">SUM(C203:C206)</f>
        <v>121</v>
      </c>
      <c r="D202" s="186">
        <f t="shared" si="39"/>
        <v>121</v>
      </c>
      <c r="E202" s="186">
        <f t="shared" si="39"/>
        <v>0</v>
      </c>
      <c r="F202" s="186">
        <f t="shared" si="39"/>
        <v>0</v>
      </c>
      <c r="G202" s="186">
        <f t="shared" si="39"/>
        <v>0</v>
      </c>
      <c r="H202" s="186">
        <f t="shared" si="39"/>
        <v>0</v>
      </c>
      <c r="I202" s="186">
        <f t="shared" si="39"/>
        <v>0</v>
      </c>
      <c r="J202" s="186">
        <f t="shared" si="39"/>
        <v>0</v>
      </c>
    </row>
    <row r="203" s="176" customFormat="1" customHeight="1" spans="1:10">
      <c r="A203" s="187" t="s">
        <v>838</v>
      </c>
      <c r="B203" s="196" t="s">
        <v>4858</v>
      </c>
      <c r="C203" s="189">
        <f t="shared" ref="C203:C206" si="40">SUM(D203:J203)</f>
        <v>121</v>
      </c>
      <c r="D203" s="189">
        <v>121</v>
      </c>
      <c r="E203" s="189"/>
      <c r="F203" s="189"/>
      <c r="G203" s="189"/>
      <c r="H203" s="189"/>
      <c r="I203" s="189"/>
      <c r="J203" s="189"/>
    </row>
    <row r="204" s="176" customFormat="1" customHeight="1" spans="1:10">
      <c r="A204" s="187" t="s">
        <v>840</v>
      </c>
      <c r="B204" s="196" t="s">
        <v>4859</v>
      </c>
      <c r="C204" s="189">
        <f t="shared" si="40"/>
        <v>0</v>
      </c>
      <c r="D204" s="189"/>
      <c r="E204" s="189"/>
      <c r="F204" s="189"/>
      <c r="G204" s="189"/>
      <c r="H204" s="189"/>
      <c r="I204" s="189"/>
      <c r="J204" s="189"/>
    </row>
    <row r="205" s="176" customFormat="1" customHeight="1" spans="1:10">
      <c r="A205" s="187" t="s">
        <v>842</v>
      </c>
      <c r="B205" s="196" t="s">
        <v>4860</v>
      </c>
      <c r="C205" s="189">
        <f t="shared" si="40"/>
        <v>0</v>
      </c>
      <c r="D205" s="189"/>
      <c r="E205" s="189"/>
      <c r="F205" s="189"/>
      <c r="G205" s="189"/>
      <c r="H205" s="189"/>
      <c r="I205" s="189"/>
      <c r="J205" s="189"/>
    </row>
    <row r="206" s="176" customFormat="1" customHeight="1" spans="1:10">
      <c r="A206" s="187" t="s">
        <v>844</v>
      </c>
      <c r="B206" s="196" t="s">
        <v>4861</v>
      </c>
      <c r="C206" s="189">
        <f t="shared" si="40"/>
        <v>0</v>
      </c>
      <c r="D206" s="189"/>
      <c r="E206" s="189"/>
      <c r="F206" s="189"/>
      <c r="G206" s="189"/>
      <c r="H206" s="189"/>
      <c r="I206" s="189"/>
      <c r="J206" s="189"/>
    </row>
    <row r="207" s="175" customFormat="1" customHeight="1" spans="1:10">
      <c r="A207" s="184" t="s">
        <v>846</v>
      </c>
      <c r="B207" s="185" t="s">
        <v>4862</v>
      </c>
      <c r="C207" s="186">
        <f t="shared" ref="C207:J207" si="41">SUM(C208:C214)</f>
        <v>4357</v>
      </c>
      <c r="D207" s="186">
        <f t="shared" si="41"/>
        <v>1561</v>
      </c>
      <c r="E207" s="186">
        <f t="shared" si="41"/>
        <v>1539</v>
      </c>
      <c r="F207" s="186">
        <f t="shared" si="41"/>
        <v>1107</v>
      </c>
      <c r="G207" s="186">
        <f t="shared" si="41"/>
        <v>0</v>
      </c>
      <c r="H207" s="186">
        <f t="shared" si="41"/>
        <v>0</v>
      </c>
      <c r="I207" s="186">
        <f t="shared" si="41"/>
        <v>0</v>
      </c>
      <c r="J207" s="186">
        <f t="shared" si="41"/>
        <v>150</v>
      </c>
    </row>
    <row r="208" s="176" customFormat="1" customHeight="1" spans="1:10">
      <c r="A208" s="206" t="s">
        <v>847</v>
      </c>
      <c r="B208" s="196" t="s">
        <v>4863</v>
      </c>
      <c r="C208" s="189">
        <f t="shared" ref="C208:C215" si="42">SUM(D208:J208)</f>
        <v>749</v>
      </c>
      <c r="D208" s="189">
        <v>424</v>
      </c>
      <c r="E208" s="189">
        <v>300</v>
      </c>
      <c r="F208" s="201">
        <v>25</v>
      </c>
      <c r="G208" s="189"/>
      <c r="H208" s="189"/>
      <c r="I208" s="189"/>
      <c r="J208" s="189"/>
    </row>
    <row r="209" s="176" customFormat="1" customHeight="1" spans="1:10">
      <c r="A209" s="206" t="s">
        <v>848</v>
      </c>
      <c r="B209" s="196" t="s">
        <v>4864</v>
      </c>
      <c r="C209" s="189">
        <f t="shared" si="42"/>
        <v>1287</v>
      </c>
      <c r="D209" s="189">
        <v>1137</v>
      </c>
      <c r="E209" s="189"/>
      <c r="F209" s="201">
        <v>0</v>
      </c>
      <c r="G209" s="189"/>
      <c r="H209" s="189"/>
      <c r="I209" s="189"/>
      <c r="J209" s="189">
        <v>150</v>
      </c>
    </row>
    <row r="210" s="176" customFormat="1" customHeight="1" spans="1:10">
      <c r="A210" s="206" t="s">
        <v>849</v>
      </c>
      <c r="B210" s="196" t="s">
        <v>4865</v>
      </c>
      <c r="C210" s="189">
        <f t="shared" si="42"/>
        <v>0</v>
      </c>
      <c r="D210" s="189"/>
      <c r="E210" s="189"/>
      <c r="F210" s="201">
        <v>0</v>
      </c>
      <c r="G210" s="189"/>
      <c r="H210" s="189"/>
      <c r="I210" s="189"/>
      <c r="J210" s="189"/>
    </row>
    <row r="211" s="176" customFormat="1" customHeight="1" spans="1:10">
      <c r="A211" s="206" t="s">
        <v>851</v>
      </c>
      <c r="B211" s="196" t="s">
        <v>4866</v>
      </c>
      <c r="C211" s="189">
        <f t="shared" si="42"/>
        <v>0</v>
      </c>
      <c r="D211" s="189"/>
      <c r="E211" s="189"/>
      <c r="F211" s="201">
        <v>0</v>
      </c>
      <c r="G211" s="189"/>
      <c r="H211" s="189"/>
      <c r="I211" s="189"/>
      <c r="J211" s="189"/>
    </row>
    <row r="212" s="176" customFormat="1" customHeight="1" spans="1:10">
      <c r="A212" s="206" t="s">
        <v>852</v>
      </c>
      <c r="B212" s="196" t="s">
        <v>4867</v>
      </c>
      <c r="C212" s="189">
        <f t="shared" si="42"/>
        <v>2307</v>
      </c>
      <c r="D212" s="189"/>
      <c r="E212" s="189">
        <v>1239</v>
      </c>
      <c r="F212" s="201">
        <v>1068</v>
      </c>
      <c r="G212" s="189"/>
      <c r="H212" s="189"/>
      <c r="I212" s="189"/>
      <c r="J212" s="189"/>
    </row>
    <row r="213" s="176" customFormat="1" customHeight="1" spans="1:10">
      <c r="A213" s="206" t="s">
        <v>853</v>
      </c>
      <c r="B213" s="196" t="s">
        <v>4868</v>
      </c>
      <c r="C213" s="189">
        <f t="shared" si="42"/>
        <v>14</v>
      </c>
      <c r="D213" s="189"/>
      <c r="E213" s="189"/>
      <c r="F213" s="201">
        <v>14</v>
      </c>
      <c r="G213" s="189"/>
      <c r="H213" s="189"/>
      <c r="I213" s="189"/>
      <c r="J213" s="189"/>
    </row>
    <row r="214" s="176" customFormat="1" customHeight="1" spans="1:10">
      <c r="A214" s="206" t="s">
        <v>854</v>
      </c>
      <c r="B214" s="196" t="s">
        <v>4869</v>
      </c>
      <c r="C214" s="189">
        <f t="shared" si="42"/>
        <v>0</v>
      </c>
      <c r="D214" s="189"/>
      <c r="E214" s="189"/>
      <c r="F214" s="189"/>
      <c r="G214" s="189"/>
      <c r="H214" s="189"/>
      <c r="I214" s="189"/>
      <c r="J214" s="189"/>
    </row>
    <row r="215" s="175" customFormat="1" customHeight="1" spans="1:10">
      <c r="A215" s="184" t="s">
        <v>855</v>
      </c>
      <c r="B215" s="185" t="s">
        <v>4870</v>
      </c>
      <c r="C215" s="186">
        <f t="shared" si="42"/>
        <v>2100</v>
      </c>
      <c r="D215" s="186">
        <v>2100</v>
      </c>
      <c r="E215" s="186"/>
      <c r="F215" s="186">
        <v>0</v>
      </c>
      <c r="G215" s="186"/>
      <c r="H215" s="186"/>
      <c r="I215" s="186"/>
      <c r="J215" s="186"/>
    </row>
    <row r="216" s="175" customFormat="1" customHeight="1" spans="1:10">
      <c r="A216" s="184" t="s">
        <v>857</v>
      </c>
      <c r="B216" s="185" t="s">
        <v>4871</v>
      </c>
      <c r="C216" s="186">
        <f t="shared" ref="C216:J216" si="43">SUM(C217:C218)</f>
        <v>15036</v>
      </c>
      <c r="D216" s="186">
        <f t="shared" si="43"/>
        <v>15036</v>
      </c>
      <c r="E216" s="186">
        <f t="shared" si="43"/>
        <v>0</v>
      </c>
      <c r="F216" s="186">
        <f t="shared" si="43"/>
        <v>0</v>
      </c>
      <c r="G216" s="186">
        <f t="shared" si="43"/>
        <v>0</v>
      </c>
      <c r="H216" s="186">
        <f t="shared" si="43"/>
        <v>0</v>
      </c>
      <c r="I216" s="186">
        <f t="shared" si="43"/>
        <v>0</v>
      </c>
      <c r="J216" s="186">
        <f t="shared" si="43"/>
        <v>0</v>
      </c>
    </row>
    <row r="217" s="176" customFormat="1" customHeight="1" spans="1:10">
      <c r="A217" s="187" t="s">
        <v>859</v>
      </c>
      <c r="B217" s="196" t="s">
        <v>4872</v>
      </c>
      <c r="C217" s="189">
        <f t="shared" ref="C217:C222" si="44">SUM(D217:J217)</f>
        <v>15036</v>
      </c>
      <c r="D217" s="189">
        <f>17536-2500</f>
        <v>15036</v>
      </c>
      <c r="E217" s="189"/>
      <c r="F217" s="189"/>
      <c r="G217" s="189"/>
      <c r="H217" s="189"/>
      <c r="I217" s="189"/>
      <c r="J217" s="189"/>
    </row>
    <row r="218" s="176" customFormat="1" customHeight="1" spans="1:10">
      <c r="A218" s="187" t="s">
        <v>861</v>
      </c>
      <c r="B218" s="196" t="s">
        <v>4848</v>
      </c>
      <c r="C218" s="189">
        <f t="shared" si="44"/>
        <v>0</v>
      </c>
      <c r="D218" s="189">
        <v>0</v>
      </c>
      <c r="E218" s="189"/>
      <c r="F218" s="189"/>
      <c r="G218" s="189"/>
      <c r="H218" s="189"/>
      <c r="I218" s="189"/>
      <c r="J218" s="189"/>
    </row>
    <row r="219" s="175" customFormat="1" customHeight="1" spans="1:10">
      <c r="A219" s="184" t="s">
        <v>868</v>
      </c>
      <c r="B219" s="185" t="s">
        <v>4873</v>
      </c>
      <c r="C219" s="186">
        <f t="shared" ref="C219:J219" si="45">SUM(C220:C222)</f>
        <v>0</v>
      </c>
      <c r="D219" s="186">
        <f t="shared" si="45"/>
        <v>0</v>
      </c>
      <c r="E219" s="186">
        <f t="shared" si="45"/>
        <v>0</v>
      </c>
      <c r="F219" s="186">
        <f t="shared" si="45"/>
        <v>0</v>
      </c>
      <c r="G219" s="186">
        <f t="shared" si="45"/>
        <v>0</v>
      </c>
      <c r="H219" s="186">
        <f t="shared" si="45"/>
        <v>0</v>
      </c>
      <c r="I219" s="186">
        <f t="shared" si="45"/>
        <v>0</v>
      </c>
      <c r="J219" s="186">
        <f t="shared" si="45"/>
        <v>0</v>
      </c>
    </row>
    <row r="220" s="176" customFormat="1" customHeight="1" spans="1:10">
      <c r="A220" s="187" t="s">
        <v>870</v>
      </c>
      <c r="B220" s="207" t="s">
        <v>4874</v>
      </c>
      <c r="C220" s="189">
        <f t="shared" si="44"/>
        <v>0</v>
      </c>
      <c r="D220" s="189"/>
      <c r="E220" s="189"/>
      <c r="F220" s="189"/>
      <c r="G220" s="189"/>
      <c r="H220" s="189"/>
      <c r="I220" s="189"/>
      <c r="J220" s="189"/>
    </row>
    <row r="221" s="176" customFormat="1" customHeight="1" spans="1:10">
      <c r="A221" s="187" t="s">
        <v>872</v>
      </c>
      <c r="B221" s="207" t="s">
        <v>4875</v>
      </c>
      <c r="C221" s="189">
        <f t="shared" si="44"/>
        <v>0</v>
      </c>
      <c r="D221" s="189"/>
      <c r="E221" s="189"/>
      <c r="F221" s="189"/>
      <c r="G221" s="189"/>
      <c r="H221" s="189"/>
      <c r="I221" s="189"/>
      <c r="J221" s="189"/>
    </row>
    <row r="222" s="176" customFormat="1" customHeight="1" spans="1:10">
      <c r="A222" s="208" t="s">
        <v>874</v>
      </c>
      <c r="B222" s="207" t="s">
        <v>4876</v>
      </c>
      <c r="C222" s="189">
        <f t="shared" si="44"/>
        <v>0</v>
      </c>
      <c r="D222" s="189"/>
      <c r="E222" s="189"/>
      <c r="F222" s="189"/>
      <c r="G222" s="189"/>
      <c r="H222" s="189"/>
      <c r="I222" s="189"/>
      <c r="J222" s="189"/>
    </row>
    <row r="223" s="175" customFormat="1" customHeight="1" spans="1:10">
      <c r="A223" s="184" t="s">
        <v>876</v>
      </c>
      <c r="B223" s="185" t="s">
        <v>4877</v>
      </c>
      <c r="C223" s="186">
        <f t="shared" ref="C223:O223" si="46">C224</f>
        <v>5774</v>
      </c>
      <c r="D223" s="186">
        <f t="shared" si="46"/>
        <v>5774</v>
      </c>
      <c r="E223" s="186">
        <f t="shared" si="46"/>
        <v>0</v>
      </c>
      <c r="F223" s="186">
        <f t="shared" si="46"/>
        <v>0</v>
      </c>
      <c r="G223" s="186">
        <f t="shared" si="46"/>
        <v>0</v>
      </c>
      <c r="H223" s="186">
        <f t="shared" si="46"/>
        <v>0</v>
      </c>
      <c r="I223" s="186">
        <f t="shared" si="46"/>
        <v>0</v>
      </c>
      <c r="J223" s="186">
        <f t="shared" si="46"/>
        <v>0</v>
      </c>
    </row>
    <row r="224" s="176" customFormat="1" customHeight="1" spans="1:10">
      <c r="A224" s="187" t="s">
        <v>878</v>
      </c>
      <c r="B224" s="196" t="s">
        <v>4878</v>
      </c>
      <c r="C224" s="189">
        <f t="shared" ref="C224:C228" si="47">SUM(D224:J224)</f>
        <v>5774</v>
      </c>
      <c r="D224" s="189">
        <v>5774</v>
      </c>
      <c r="E224" s="189"/>
      <c r="F224" s="189"/>
      <c r="G224" s="189"/>
      <c r="H224" s="189"/>
      <c r="I224" s="189"/>
      <c r="J224" s="189"/>
    </row>
    <row r="225" s="175" customFormat="1" customHeight="1" spans="1:10">
      <c r="A225" s="184" t="s">
        <v>880</v>
      </c>
      <c r="B225" s="185" t="s">
        <v>4879</v>
      </c>
      <c r="C225" s="186">
        <f t="shared" si="47"/>
        <v>0</v>
      </c>
      <c r="D225" s="186">
        <v>0</v>
      </c>
      <c r="E225" s="186"/>
      <c r="F225" s="186"/>
      <c r="G225" s="186"/>
      <c r="H225" s="186"/>
      <c r="I225" s="186"/>
      <c r="J225" s="186"/>
    </row>
    <row r="226" s="176" customFormat="1" customHeight="1" spans="1:10">
      <c r="A226" s="209">
        <v>23303</v>
      </c>
      <c r="B226" s="196" t="s">
        <v>4880</v>
      </c>
      <c r="C226" s="189"/>
      <c r="D226" s="189"/>
      <c r="E226" s="189"/>
      <c r="F226" s="189"/>
      <c r="G226" s="189"/>
      <c r="H226" s="189"/>
      <c r="I226" s="189"/>
      <c r="J226" s="189"/>
    </row>
    <row r="227" s="176" customFormat="1" customHeight="1" spans="1:10">
      <c r="A227" s="191"/>
      <c r="B227" s="210"/>
      <c r="C227" s="189"/>
      <c r="D227" s="189"/>
      <c r="E227" s="189"/>
      <c r="F227" s="189"/>
      <c r="G227" s="189"/>
      <c r="H227" s="189"/>
      <c r="I227" s="189"/>
      <c r="J227" s="212"/>
    </row>
    <row r="228" s="177" customFormat="1" customHeight="1" spans="1:10">
      <c r="A228" s="191"/>
      <c r="B228" s="211" t="s">
        <v>4881</v>
      </c>
      <c r="C228" s="189">
        <f t="shared" si="47"/>
        <v>342806</v>
      </c>
      <c r="D228" s="189">
        <f t="shared" ref="D228:J228" si="48">D5+D35+D45+D51+D63+D74+D85+D92+D114+D129+D144+D151+D160+D166+D174+D178+D184+D194+D198+D202+D207+D215+D223+D225+D216+D219</f>
        <v>166137</v>
      </c>
      <c r="E228" s="189">
        <f t="shared" si="48"/>
        <v>4271</v>
      </c>
      <c r="F228" s="189">
        <f t="shared" si="48"/>
        <v>28941</v>
      </c>
      <c r="G228" s="189">
        <f t="shared" si="48"/>
        <v>0</v>
      </c>
      <c r="H228" s="189">
        <f t="shared" si="48"/>
        <v>45393</v>
      </c>
      <c r="I228" s="189">
        <f t="shared" si="48"/>
        <v>0</v>
      </c>
      <c r="J228" s="189">
        <f t="shared" si="48"/>
        <v>98064</v>
      </c>
    </row>
    <row r="229" s="140" customFormat="1" customHeight="1" spans="11:13">
      <c r="K229" s="178"/>
      <c r="L229" s="178"/>
      <c r="M229" s="178"/>
    </row>
  </sheetData>
  <autoFilter xmlns:etc="http://www.wps.cn/officeDocument/2017/etCustomData" ref="A4:L226" etc:filterBottomFollowUsedRange="0">
    <extLst/>
  </autoFilter>
  <mergeCells count="11">
    <mergeCell ref="A1:J1"/>
    <mergeCell ref="A3:A4"/>
    <mergeCell ref="B3:B4"/>
    <mergeCell ref="C3:C4"/>
    <mergeCell ref="D3:D4"/>
    <mergeCell ref="E3:E4"/>
    <mergeCell ref="F3:F4"/>
    <mergeCell ref="G3:G4"/>
    <mergeCell ref="H3:H4"/>
    <mergeCell ref="I3:I4"/>
    <mergeCell ref="J3:J4"/>
  </mergeCells>
  <printOptions horizontalCentered="1" verticalCentered="1"/>
  <pageMargins left="0.511811023622047" right="0.511811023622047" top="0.551181102362205" bottom="0.748031496062992" header="0.31496062992126" footer="0.31496062992126"/>
  <pageSetup paperSize="9" scale="63" fitToHeight="999" orientation="portrait" blackAndWhite="1"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zoomScale="85" zoomScaleNormal="85" workbookViewId="0">
      <selection activeCell="I19" sqref="I19"/>
    </sheetView>
  </sheetViews>
  <sheetFormatPr defaultColWidth="12.125" defaultRowHeight="16.9" customHeight="1" outlineLevelCol="5"/>
  <cols>
    <col min="1" max="1" width="36.25" style="105" customWidth="1"/>
    <col min="2" max="2" width="11.5" style="105" customWidth="1"/>
    <col min="3" max="3" width="12.5" style="105" customWidth="1"/>
    <col min="4" max="6" width="14.125" style="105" customWidth="1"/>
    <col min="7" max="16384" width="12.125" style="105"/>
  </cols>
  <sheetData>
    <row r="1" s="105" customFormat="1" ht="23.25" spans="1:6">
      <c r="A1" s="108" t="s">
        <v>4882</v>
      </c>
      <c r="B1" s="108"/>
      <c r="C1" s="108"/>
      <c r="D1" s="108"/>
      <c r="E1" s="108"/>
      <c r="F1" s="108"/>
    </row>
    <row r="2" s="105" customFormat="1" ht="15.75" spans="1:6">
      <c r="A2" s="109"/>
      <c r="B2" s="109"/>
      <c r="C2" s="109"/>
      <c r="D2" s="109"/>
      <c r="E2" s="109"/>
      <c r="F2" s="109"/>
    </row>
    <row r="3" s="105" customFormat="1" ht="15.75" spans="1:6">
      <c r="A3" s="110"/>
      <c r="B3" s="110"/>
      <c r="C3" s="110"/>
      <c r="D3" s="110"/>
      <c r="E3" s="110"/>
      <c r="F3" s="110" t="s">
        <v>4883</v>
      </c>
    </row>
    <row r="4" s="105" customFormat="1" ht="27" customHeight="1" spans="1:6">
      <c r="A4" s="111" t="s">
        <v>4651</v>
      </c>
      <c r="B4" s="111" t="s">
        <v>4884</v>
      </c>
      <c r="C4" s="111"/>
      <c r="D4" s="111"/>
      <c r="E4" s="111"/>
      <c r="F4" s="111"/>
    </row>
    <row r="5" s="105" customFormat="1" ht="30" customHeight="1" spans="1:6">
      <c r="A5" s="112"/>
      <c r="B5" s="112" t="s">
        <v>4652</v>
      </c>
      <c r="C5" s="112" t="s">
        <v>4885</v>
      </c>
      <c r="D5" s="112" t="s">
        <v>4886</v>
      </c>
      <c r="E5" s="112" t="s">
        <v>4887</v>
      </c>
      <c r="F5" s="112" t="s">
        <v>4888</v>
      </c>
    </row>
    <row r="6" s="105" customFormat="1" ht="31.5" customHeight="1" spans="1:6">
      <c r="A6" s="113" t="s">
        <v>4889</v>
      </c>
      <c r="B6" s="114">
        <f t="shared" ref="B6:B11" si="0">SUM(C6:F6)</f>
        <v>204274</v>
      </c>
      <c r="C6" s="114">
        <v>192960</v>
      </c>
      <c r="D6" s="170"/>
      <c r="E6" s="114">
        <v>11305</v>
      </c>
      <c r="F6" s="114">
        <v>9</v>
      </c>
    </row>
    <row r="7" s="105" customFormat="1" ht="31.5" customHeight="1" spans="1:6">
      <c r="A7" s="701" t="s">
        <v>4890</v>
      </c>
      <c r="B7" s="116">
        <v>204400</v>
      </c>
      <c r="C7" s="114"/>
      <c r="D7" s="171"/>
      <c r="E7" s="114"/>
      <c r="F7" s="172"/>
    </row>
    <row r="8" s="105" customFormat="1" ht="31.5" customHeight="1" spans="1:6">
      <c r="A8" s="701" t="s">
        <v>4891</v>
      </c>
      <c r="B8" s="114">
        <f t="shared" si="0"/>
        <v>4677</v>
      </c>
      <c r="C8" s="114">
        <v>5760</v>
      </c>
      <c r="D8" s="170"/>
      <c r="E8" s="173"/>
      <c r="F8" s="114">
        <v>-1083</v>
      </c>
    </row>
    <row r="9" s="105" customFormat="1" ht="31.5" customHeight="1" spans="1:6">
      <c r="A9" s="701" t="s">
        <v>4892</v>
      </c>
      <c r="B9" s="114">
        <f t="shared" si="0"/>
        <v>5264</v>
      </c>
      <c r="C9" s="114">
        <v>5000</v>
      </c>
      <c r="D9" s="170"/>
      <c r="E9" s="114">
        <v>264</v>
      </c>
      <c r="F9" s="174"/>
    </row>
    <row r="10" s="105" customFormat="1" ht="31.5" customHeight="1" spans="1:6">
      <c r="A10" s="701" t="s">
        <v>4893</v>
      </c>
      <c r="B10" s="114">
        <f t="shared" si="0"/>
        <v>460</v>
      </c>
      <c r="C10" s="114">
        <v>1083</v>
      </c>
      <c r="D10" s="170"/>
      <c r="E10" s="114">
        <v>460</v>
      </c>
      <c r="F10" s="114">
        <v>-1083</v>
      </c>
    </row>
    <row r="11" s="105" customFormat="1" ht="31.5" customHeight="1" spans="1:6">
      <c r="A11" s="113" t="s">
        <v>4894</v>
      </c>
      <c r="B11" s="114">
        <f t="shared" si="0"/>
        <v>203227</v>
      </c>
      <c r="C11" s="114">
        <f t="shared" ref="C11:F11" si="1">C6+C8-C9-C10</f>
        <v>192637</v>
      </c>
      <c r="D11" s="170"/>
      <c r="E11" s="114">
        <f t="shared" si="1"/>
        <v>10581</v>
      </c>
      <c r="F11" s="114">
        <f t="shared" si="1"/>
        <v>9</v>
      </c>
    </row>
    <row r="12" s="105" customFormat="1" ht="15.75"/>
    <row r="13" s="105" customFormat="1" ht="15.75"/>
    <row r="14" s="105" customFormat="1" ht="15.75"/>
    <row r="15" s="105" customFormat="1" ht="15.75"/>
    <row r="16" s="105" customFormat="1" ht="15.75"/>
    <row r="17" s="105" customFormat="1" ht="15.75"/>
    <row r="18" s="105" customFormat="1" ht="15.75"/>
    <row r="19" s="105" customFormat="1" ht="15.75"/>
    <row r="20" s="105" customFormat="1" ht="15.75"/>
  </sheetData>
  <mergeCells count="4">
    <mergeCell ref="A1:F1"/>
    <mergeCell ref="A2:F2"/>
    <mergeCell ref="B4:F4"/>
    <mergeCell ref="A4:A5"/>
  </mergeCells>
  <dataValidations count="1">
    <dataValidation type="decimal" operator="between" allowBlank="1" showInputMessage="1" showErrorMessage="1" sqref="B6 C6 E6 F6 B7 B8:B11 C8:C11 E8:E11 F8:F11">
      <formula1>-99999999999999</formula1>
      <formula2>99999999999999</formula2>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6"/>
  <sheetViews>
    <sheetView workbookViewId="0">
      <selection activeCell="G4" sqref="G4"/>
    </sheetView>
  </sheetViews>
  <sheetFormatPr defaultColWidth="9" defaultRowHeight="15.75" outlineLevelCol="3"/>
  <cols>
    <col min="1" max="1" width="36.5" style="140" customWidth="1"/>
    <col min="2" max="2" width="14.0833333333333" style="140" customWidth="1"/>
    <col min="3" max="3" width="17.625" style="140" customWidth="1"/>
    <col min="4" max="4" width="17.125" style="140" customWidth="1"/>
    <col min="5" max="16384" width="9" style="140"/>
  </cols>
  <sheetData>
    <row r="1" s="140" customFormat="1" ht="18" customHeight="1" spans="1:4">
      <c r="A1" s="120" t="s">
        <v>4895</v>
      </c>
      <c r="B1" s="120"/>
      <c r="C1" s="120"/>
      <c r="D1" s="120"/>
    </row>
    <row r="2" s="140" customFormat="1" ht="18" customHeight="1" spans="1:1">
      <c r="A2" s="143"/>
    </row>
    <row r="3" s="140" customFormat="1" ht="24.75" customHeight="1" spans="1:4">
      <c r="A3" s="144" t="s">
        <v>4896</v>
      </c>
      <c r="B3" s="145"/>
      <c r="C3" s="145"/>
      <c r="D3" s="146"/>
    </row>
    <row r="4" s="106" customFormat="1" ht="35.25" customHeight="1" spans="1:4">
      <c r="A4" s="42" t="s">
        <v>89</v>
      </c>
      <c r="B4" s="147" t="s">
        <v>4897</v>
      </c>
      <c r="C4" s="147" t="s">
        <v>4898</v>
      </c>
      <c r="D4" s="147" t="s">
        <v>1455</v>
      </c>
    </row>
    <row r="5" s="141" customFormat="1" ht="20.1" customHeight="1" spans="1:4">
      <c r="A5" s="148" t="s">
        <v>897</v>
      </c>
      <c r="B5" s="149">
        <f>SUM(B6:B34)</f>
        <v>11294</v>
      </c>
      <c r="C5" s="149">
        <f>SUM(C6:C34)</f>
        <v>10780</v>
      </c>
      <c r="D5" s="150">
        <f>C5/B5</f>
        <v>0.9545</v>
      </c>
    </row>
    <row r="6" s="141" customFormat="1" ht="20.1" customHeight="1" spans="1:4">
      <c r="A6" s="151" t="s">
        <v>4899</v>
      </c>
      <c r="B6" s="41"/>
      <c r="C6" s="41"/>
      <c r="D6" s="152"/>
    </row>
    <row r="7" s="141" customFormat="1" ht="20.1" customHeight="1" spans="1:4">
      <c r="A7" s="151" t="s">
        <v>4900</v>
      </c>
      <c r="B7" s="41"/>
      <c r="C7" s="41"/>
      <c r="D7" s="152"/>
    </row>
    <row r="8" s="141" customFormat="1" ht="20.1" customHeight="1" spans="1:4">
      <c r="A8" s="151" t="s">
        <v>4901</v>
      </c>
      <c r="B8" s="41"/>
      <c r="C8" s="41"/>
      <c r="D8" s="152"/>
    </row>
    <row r="9" s="141" customFormat="1" ht="20.1" customHeight="1" spans="1:4">
      <c r="A9" s="151" t="s">
        <v>4902</v>
      </c>
      <c r="B9" s="41"/>
      <c r="C9" s="41"/>
      <c r="D9" s="152"/>
    </row>
    <row r="10" s="141" customFormat="1" ht="20.1" customHeight="1" spans="1:4">
      <c r="A10" s="151" t="s">
        <v>4903</v>
      </c>
      <c r="B10" s="41"/>
      <c r="C10" s="41"/>
      <c r="D10" s="152"/>
    </row>
    <row r="11" s="141" customFormat="1" ht="20.1" customHeight="1" spans="1:4">
      <c r="A11" s="151" t="s">
        <v>4904</v>
      </c>
      <c r="B11" s="41"/>
      <c r="C11" s="41"/>
      <c r="D11" s="152"/>
    </row>
    <row r="12" s="141" customFormat="1" ht="20.1" customHeight="1" spans="1:4">
      <c r="A12" s="151" t="s">
        <v>4905</v>
      </c>
      <c r="B12" s="41"/>
      <c r="C12" s="41"/>
      <c r="D12" s="152"/>
    </row>
    <row r="13" s="141" customFormat="1" ht="20.1" customHeight="1" spans="1:4">
      <c r="A13" s="151" t="s">
        <v>4906</v>
      </c>
      <c r="B13" s="41"/>
      <c r="C13" s="41"/>
      <c r="D13" s="152"/>
    </row>
    <row r="14" s="141" customFormat="1" ht="20.1" customHeight="1" spans="1:4">
      <c r="A14" s="151" t="s">
        <v>4907</v>
      </c>
      <c r="B14" s="41">
        <v>10630</v>
      </c>
      <c r="C14" s="41">
        <v>10000</v>
      </c>
      <c r="D14" s="152">
        <f>C14/B14</f>
        <v>0.9407</v>
      </c>
    </row>
    <row r="15" s="141" customFormat="1" ht="20.1" customHeight="1" spans="1:4">
      <c r="A15" s="151" t="s">
        <v>4908</v>
      </c>
      <c r="B15" s="41"/>
      <c r="C15" s="41"/>
      <c r="D15" s="152"/>
    </row>
    <row r="16" s="141" customFormat="1" ht="20.1" customHeight="1" spans="1:4">
      <c r="A16" s="151" t="s">
        <v>4909</v>
      </c>
      <c r="B16" s="41"/>
      <c r="C16" s="41"/>
      <c r="D16" s="152"/>
    </row>
    <row r="17" s="141" customFormat="1" ht="20.1" customHeight="1" spans="1:4">
      <c r="A17" s="151" t="s">
        <v>4910</v>
      </c>
      <c r="B17" s="41"/>
      <c r="C17" s="41"/>
      <c r="D17" s="152"/>
    </row>
    <row r="18" s="141" customFormat="1" ht="20.1" customHeight="1" spans="1:4">
      <c r="A18" s="151" t="s">
        <v>4911</v>
      </c>
      <c r="B18" s="41"/>
      <c r="C18" s="41"/>
      <c r="D18" s="152"/>
    </row>
    <row r="19" s="141" customFormat="1" ht="20.1" customHeight="1" spans="1:4">
      <c r="A19" s="151" t="s">
        <v>4912</v>
      </c>
      <c r="B19" s="41"/>
      <c r="C19" s="41"/>
      <c r="D19" s="152"/>
    </row>
    <row r="20" s="141" customFormat="1" ht="20.1" customHeight="1" spans="1:4">
      <c r="A20" s="151" t="s">
        <v>4913</v>
      </c>
      <c r="B20" s="41"/>
      <c r="C20" s="41"/>
      <c r="D20" s="152"/>
    </row>
    <row r="21" s="141" customFormat="1" ht="20.1" customHeight="1" spans="1:4">
      <c r="A21" s="151" t="s">
        <v>4914</v>
      </c>
      <c r="B21" s="41">
        <v>217</v>
      </c>
      <c r="C21" s="41">
        <v>80</v>
      </c>
      <c r="D21" s="152">
        <f>C21/B21</f>
        <v>0.3687</v>
      </c>
    </row>
    <row r="22" s="106" customFormat="1" ht="20.1" customHeight="1" spans="1:4">
      <c r="A22" s="151" t="s">
        <v>4915</v>
      </c>
      <c r="B22" s="41"/>
      <c r="C22" s="41"/>
      <c r="D22" s="152"/>
    </row>
    <row r="23" s="140" customFormat="1" ht="20.1" customHeight="1" spans="1:4">
      <c r="A23" s="151" t="s">
        <v>4916</v>
      </c>
      <c r="B23" s="41"/>
      <c r="C23" s="41"/>
      <c r="D23" s="152"/>
    </row>
    <row r="24" s="140" customFormat="1" ht="20.1" customHeight="1" spans="1:4">
      <c r="A24" s="151" t="s">
        <v>4917</v>
      </c>
      <c r="B24" s="41"/>
      <c r="C24" s="41"/>
      <c r="D24" s="152"/>
    </row>
    <row r="25" s="140" customFormat="1" ht="20.1" customHeight="1" spans="1:4">
      <c r="A25" s="151" t="s">
        <v>4918</v>
      </c>
      <c r="B25" s="41"/>
      <c r="C25" s="41"/>
      <c r="D25" s="152"/>
    </row>
    <row r="26" s="140" customFormat="1" ht="20.1" customHeight="1" spans="1:4">
      <c r="A26" s="151" t="s">
        <v>4919</v>
      </c>
      <c r="B26" s="41"/>
      <c r="C26" s="41"/>
      <c r="D26" s="152"/>
    </row>
    <row r="27" s="140" customFormat="1" ht="20.1" customHeight="1" spans="1:4">
      <c r="A27" s="151" t="s">
        <v>4920</v>
      </c>
      <c r="B27" s="41"/>
      <c r="C27" s="41"/>
      <c r="D27" s="152"/>
    </row>
    <row r="28" s="140" customFormat="1" ht="20.1" customHeight="1" spans="1:4">
      <c r="A28" s="151" t="s">
        <v>4921</v>
      </c>
      <c r="B28" s="41"/>
      <c r="C28" s="41"/>
      <c r="D28" s="152"/>
    </row>
    <row r="29" s="140" customFormat="1" ht="20.1" customHeight="1" spans="1:4">
      <c r="A29" s="151" t="s">
        <v>4922</v>
      </c>
      <c r="B29" s="41">
        <v>447</v>
      </c>
      <c r="C29" s="41">
        <v>700</v>
      </c>
      <c r="D29" s="152"/>
    </row>
    <row r="30" s="140" customFormat="1" ht="20.1" customHeight="1" spans="1:4">
      <c r="A30" s="151" t="s">
        <v>4923</v>
      </c>
      <c r="B30" s="41"/>
      <c r="C30" s="41"/>
      <c r="D30" s="152"/>
    </row>
    <row r="31" s="140" customFormat="1" ht="20.1" customHeight="1" spans="1:4">
      <c r="A31" s="151" t="s">
        <v>4924</v>
      </c>
      <c r="B31" s="41"/>
      <c r="C31" s="41"/>
      <c r="D31" s="152"/>
    </row>
    <row r="32" s="140" customFormat="1" ht="20.1" customHeight="1" spans="1:4">
      <c r="A32" s="151" t="s">
        <v>4925</v>
      </c>
      <c r="B32" s="41"/>
      <c r="C32" s="41"/>
      <c r="D32" s="152"/>
    </row>
    <row r="33" s="140" customFormat="1" ht="20.1" customHeight="1" spans="1:4">
      <c r="A33" s="151" t="s">
        <v>4926</v>
      </c>
      <c r="B33" s="41"/>
      <c r="C33" s="41"/>
      <c r="D33" s="152"/>
    </row>
    <row r="34" s="140" customFormat="1" ht="20.1" customHeight="1" spans="1:4">
      <c r="A34" s="151" t="s">
        <v>4927</v>
      </c>
      <c r="B34" s="41"/>
      <c r="C34" s="41"/>
      <c r="D34" s="152"/>
    </row>
    <row r="35" s="140" customFormat="1" ht="20.1" customHeight="1" spans="1:4">
      <c r="A35" s="148" t="s">
        <v>993</v>
      </c>
      <c r="B35" s="149">
        <f>SUM(B36:B46)</f>
        <v>1630</v>
      </c>
      <c r="C35" s="149">
        <f>SUM(C36:C46)</f>
        <v>786</v>
      </c>
      <c r="D35" s="150">
        <f>C35/B35</f>
        <v>0.4822</v>
      </c>
    </row>
    <row r="36" spans="1:4">
      <c r="A36" s="151" t="s">
        <v>4928</v>
      </c>
      <c r="B36" s="41"/>
      <c r="C36" s="41"/>
      <c r="D36" s="152"/>
    </row>
    <row r="37" spans="1:4">
      <c r="A37" s="151" t="s">
        <v>4929</v>
      </c>
      <c r="B37" s="41"/>
      <c r="C37" s="41"/>
      <c r="D37" s="152"/>
    </row>
    <row r="38" spans="1:4">
      <c r="A38" s="151" t="s">
        <v>4930</v>
      </c>
      <c r="B38" s="41"/>
      <c r="C38" s="41"/>
      <c r="D38" s="152"/>
    </row>
    <row r="39" spans="1:4">
      <c r="A39" s="151" t="s">
        <v>4931</v>
      </c>
      <c r="B39" s="41"/>
      <c r="C39" s="41"/>
      <c r="D39" s="152"/>
    </row>
    <row r="40" spans="1:4">
      <c r="A40" s="151" t="s">
        <v>4932</v>
      </c>
      <c r="B40" s="41"/>
      <c r="C40" s="41"/>
      <c r="D40" s="152"/>
    </row>
    <row r="41" spans="1:4">
      <c r="A41" s="151" t="s">
        <v>4933</v>
      </c>
      <c r="B41" s="41"/>
      <c r="C41" s="41"/>
      <c r="D41" s="152"/>
    </row>
    <row r="42" spans="1:4">
      <c r="A42" s="151" t="s">
        <v>4934</v>
      </c>
      <c r="B42" s="41"/>
      <c r="C42" s="41"/>
      <c r="D42" s="152"/>
    </row>
    <row r="43" spans="1:4">
      <c r="A43" s="151" t="s">
        <v>4935</v>
      </c>
      <c r="B43" s="41"/>
      <c r="C43" s="41"/>
      <c r="D43" s="152"/>
    </row>
    <row r="44" spans="1:4">
      <c r="A44" s="151" t="s">
        <v>4936</v>
      </c>
      <c r="B44" s="41"/>
      <c r="C44" s="41"/>
      <c r="D44" s="152"/>
    </row>
    <row r="45" spans="1:4">
      <c r="A45" s="151" t="s">
        <v>4937</v>
      </c>
      <c r="B45" s="41"/>
      <c r="C45" s="41"/>
      <c r="D45" s="152"/>
    </row>
    <row r="46" spans="1:4">
      <c r="A46" s="151" t="s">
        <v>4938</v>
      </c>
      <c r="B46" s="41">
        <v>1630</v>
      </c>
      <c r="C46" s="41">
        <v>786</v>
      </c>
      <c r="D46" s="152">
        <f>C46/B46</f>
        <v>0.4822</v>
      </c>
    </row>
    <row r="47" spans="1:4">
      <c r="A47" s="153"/>
      <c r="B47" s="41"/>
      <c r="C47" s="41"/>
      <c r="D47" s="152"/>
    </row>
    <row r="48" spans="1:4">
      <c r="A48" s="153"/>
      <c r="B48" s="41"/>
      <c r="C48" s="41"/>
      <c r="D48" s="152"/>
    </row>
    <row r="49" spans="1:4">
      <c r="A49" s="153"/>
      <c r="B49" s="41"/>
      <c r="C49" s="41"/>
      <c r="D49" s="152"/>
    </row>
    <row r="50" spans="1:4">
      <c r="A50" s="153"/>
      <c r="B50" s="41"/>
      <c r="C50" s="41"/>
      <c r="D50" s="152"/>
    </row>
    <row r="51" spans="1:4">
      <c r="A51" s="153"/>
      <c r="B51" s="41"/>
      <c r="C51" s="41"/>
      <c r="D51" s="152"/>
    </row>
    <row r="52" spans="1:4">
      <c r="A52" s="153"/>
      <c r="B52" s="41"/>
      <c r="C52" s="41"/>
      <c r="D52" s="152"/>
    </row>
    <row r="53" spans="1:4">
      <c r="A53" s="153"/>
      <c r="B53" s="41"/>
      <c r="C53" s="41"/>
      <c r="D53" s="152"/>
    </row>
    <row r="54" spans="1:4">
      <c r="A54" s="153"/>
      <c r="B54" s="41"/>
      <c r="C54" s="41"/>
      <c r="D54" s="152"/>
    </row>
    <row r="55" spans="1:4">
      <c r="A55" s="153"/>
      <c r="B55" s="41"/>
      <c r="C55" s="41"/>
      <c r="D55" s="152"/>
    </row>
    <row r="56" spans="1:4">
      <c r="A56" s="153"/>
      <c r="B56" s="41"/>
      <c r="C56" s="41"/>
      <c r="D56" s="152"/>
    </row>
    <row r="57" spans="1:4">
      <c r="A57" s="153"/>
      <c r="B57" s="41"/>
      <c r="C57" s="41"/>
      <c r="D57" s="152"/>
    </row>
    <row r="58" spans="1:4">
      <c r="A58" s="153"/>
      <c r="B58" s="41"/>
      <c r="C58" s="41"/>
      <c r="D58" s="152"/>
    </row>
    <row r="59" spans="1:4">
      <c r="A59" s="153"/>
      <c r="B59" s="41"/>
      <c r="C59" s="41"/>
      <c r="D59" s="152"/>
    </row>
    <row r="60" spans="1:4">
      <c r="A60" s="153"/>
      <c r="B60" s="41"/>
      <c r="C60" s="41"/>
      <c r="D60" s="152"/>
    </row>
    <row r="61" spans="1:4">
      <c r="A61" s="153"/>
      <c r="B61" s="41"/>
      <c r="C61" s="41"/>
      <c r="D61" s="152"/>
    </row>
    <row r="62" spans="1:4">
      <c r="A62" s="153"/>
      <c r="B62" s="41"/>
      <c r="C62" s="41"/>
      <c r="D62" s="152"/>
    </row>
    <row r="63" spans="1:4">
      <c r="A63" s="153"/>
      <c r="B63" s="41"/>
      <c r="C63" s="41"/>
      <c r="D63" s="152"/>
    </row>
    <row r="64" spans="1:4">
      <c r="A64" s="153"/>
      <c r="B64" s="41"/>
      <c r="C64" s="41"/>
      <c r="D64" s="152"/>
    </row>
    <row r="65" spans="1:4">
      <c r="A65" s="153"/>
      <c r="B65" s="41"/>
      <c r="C65" s="41"/>
      <c r="D65" s="152"/>
    </row>
    <row r="66" spans="1:4">
      <c r="A66" s="153"/>
      <c r="B66" s="41"/>
      <c r="C66" s="41"/>
      <c r="D66" s="152"/>
    </row>
    <row r="67" spans="1:4">
      <c r="A67" s="153"/>
      <c r="B67" s="41"/>
      <c r="C67" s="41"/>
      <c r="D67" s="152"/>
    </row>
    <row r="68" spans="1:4">
      <c r="A68" s="153"/>
      <c r="B68" s="41"/>
      <c r="C68" s="41"/>
      <c r="D68" s="152"/>
    </row>
    <row r="69" spans="1:4">
      <c r="A69" s="153"/>
      <c r="B69" s="41"/>
      <c r="C69" s="41"/>
      <c r="D69" s="152"/>
    </row>
    <row r="70" spans="1:4">
      <c r="A70" s="153"/>
      <c r="B70" s="41"/>
      <c r="C70" s="41"/>
      <c r="D70" s="152"/>
    </row>
    <row r="71" spans="1:4">
      <c r="A71" s="153"/>
      <c r="B71" s="41"/>
      <c r="C71" s="41"/>
      <c r="D71" s="152"/>
    </row>
    <row r="72" spans="1:4">
      <c r="A72" s="153"/>
      <c r="B72" s="41"/>
      <c r="C72" s="41"/>
      <c r="D72" s="152"/>
    </row>
    <row r="73" spans="1:4">
      <c r="A73" s="153"/>
      <c r="B73" s="41"/>
      <c r="C73" s="41"/>
      <c r="D73" s="152"/>
    </row>
    <row r="74" spans="1:4">
      <c r="A74" s="153"/>
      <c r="B74" s="41"/>
      <c r="C74" s="41"/>
      <c r="D74" s="152"/>
    </row>
    <row r="75" spans="1:4">
      <c r="A75" s="153"/>
      <c r="B75" s="41"/>
      <c r="C75" s="41"/>
      <c r="D75" s="152"/>
    </row>
    <row r="76" spans="1:4">
      <c r="A76" s="153"/>
      <c r="B76" s="41"/>
      <c r="C76" s="41"/>
      <c r="D76" s="152"/>
    </row>
    <row r="77" spans="1:4">
      <c r="A77" s="153"/>
      <c r="B77" s="41"/>
      <c r="C77" s="41"/>
      <c r="D77" s="152"/>
    </row>
    <row r="78" spans="1:4">
      <c r="A78" s="153"/>
      <c r="B78" s="41"/>
      <c r="C78" s="41"/>
      <c r="D78" s="152"/>
    </row>
    <row r="79" spans="1:4">
      <c r="A79" s="153"/>
      <c r="B79" s="41"/>
      <c r="C79" s="41"/>
      <c r="D79" s="152"/>
    </row>
    <row r="80" spans="1:4">
      <c r="A80" s="153"/>
      <c r="B80" s="41"/>
      <c r="C80" s="41"/>
      <c r="D80" s="152"/>
    </row>
    <row r="81" spans="1:4">
      <c r="A81" s="153"/>
      <c r="B81" s="41"/>
      <c r="C81" s="41"/>
      <c r="D81" s="152"/>
    </row>
    <row r="82" spans="1:4">
      <c r="A82" s="138" t="s">
        <v>4939</v>
      </c>
      <c r="B82" s="139">
        <f>B35+B5</f>
        <v>12924</v>
      </c>
      <c r="C82" s="139">
        <f>C35+C5</f>
        <v>11566</v>
      </c>
      <c r="D82" s="159">
        <f>C82/B82</f>
        <v>0.8949</v>
      </c>
    </row>
    <row r="83" spans="1:4">
      <c r="A83" s="160" t="s">
        <v>1236</v>
      </c>
      <c r="B83" s="149">
        <f>SUM(B84:B86)</f>
        <v>0</v>
      </c>
      <c r="C83" s="149">
        <f>SUM(C84:C86)</f>
        <v>0</v>
      </c>
      <c r="D83" s="150"/>
    </row>
    <row r="84" spans="1:4">
      <c r="A84" s="131" t="s">
        <v>4940</v>
      </c>
      <c r="B84" s="41"/>
      <c r="C84" s="41"/>
      <c r="D84" s="152"/>
    </row>
    <row r="85" spans="1:4">
      <c r="A85" s="131" t="s">
        <v>4941</v>
      </c>
      <c r="B85" s="41"/>
      <c r="C85" s="41"/>
      <c r="D85" s="152"/>
    </row>
    <row r="86" spans="1:4">
      <c r="A86" s="131" t="s">
        <v>4941</v>
      </c>
      <c r="B86" s="41"/>
      <c r="C86" s="41"/>
      <c r="D86" s="152"/>
    </row>
    <row r="87" spans="1:4">
      <c r="A87" s="160" t="s">
        <v>1246</v>
      </c>
      <c r="B87" s="149">
        <f>SUM(B88:B94)</f>
        <v>47453</v>
      </c>
      <c r="C87" s="149">
        <f>SUM(C88:C94)</f>
        <v>20508</v>
      </c>
      <c r="D87" s="150">
        <f t="shared" ref="D87:D90" si="0">C87/B87</f>
        <v>0.4322</v>
      </c>
    </row>
    <row r="88" spans="1:4">
      <c r="A88" s="161" t="s">
        <v>1248</v>
      </c>
      <c r="B88" s="41">
        <v>1363</v>
      </c>
      <c r="C88" s="41">
        <v>643</v>
      </c>
      <c r="D88" s="152">
        <f t="shared" si="0"/>
        <v>0.4718</v>
      </c>
    </row>
    <row r="89" spans="1:4">
      <c r="A89" s="161" t="s">
        <v>1251</v>
      </c>
      <c r="B89" s="41"/>
      <c r="C89" s="41"/>
      <c r="D89" s="152"/>
    </row>
    <row r="90" spans="1:4">
      <c r="A90" s="161" t="s">
        <v>1252</v>
      </c>
      <c r="B90" s="41">
        <v>19153</v>
      </c>
      <c r="C90" s="41">
        <v>19865</v>
      </c>
      <c r="D90" s="152">
        <f t="shared" si="0"/>
        <v>1.0372</v>
      </c>
    </row>
    <row r="91" spans="1:4">
      <c r="A91" s="161" t="s">
        <v>1253</v>
      </c>
      <c r="B91" s="41"/>
      <c r="C91" s="41"/>
      <c r="D91" s="152"/>
    </row>
    <row r="92" spans="1:4">
      <c r="A92" s="162" t="s">
        <v>1254</v>
      </c>
      <c r="B92" s="41">
        <v>26937</v>
      </c>
      <c r="C92" s="41"/>
      <c r="D92" s="152"/>
    </row>
    <row r="93" spans="1:4">
      <c r="A93" s="162" t="s">
        <v>1255</v>
      </c>
      <c r="B93" s="41"/>
      <c r="C93" s="41"/>
      <c r="D93" s="152"/>
    </row>
    <row r="94" spans="1:4">
      <c r="A94" s="162" t="s">
        <v>1255</v>
      </c>
      <c r="B94" s="41"/>
      <c r="C94" s="41"/>
      <c r="D94" s="152"/>
    </row>
    <row r="95" spans="1:4">
      <c r="A95" s="41"/>
      <c r="B95" s="41"/>
      <c r="C95" s="41"/>
      <c r="D95" s="152"/>
    </row>
    <row r="96" spans="1:4">
      <c r="A96" s="42" t="s">
        <v>4942</v>
      </c>
      <c r="B96" s="41">
        <f>B82+B83+B87</f>
        <v>60377</v>
      </c>
      <c r="C96" s="41">
        <f>C82+C83+C87</f>
        <v>32074</v>
      </c>
      <c r="D96" s="152">
        <f>C96/B96</f>
        <v>0.5312</v>
      </c>
    </row>
  </sheetData>
  <mergeCells count="2">
    <mergeCell ref="A1:D1"/>
    <mergeCell ref="A3:D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6"/>
  <sheetViews>
    <sheetView workbookViewId="0">
      <selection activeCell="K7" sqref="K7"/>
    </sheetView>
  </sheetViews>
  <sheetFormatPr defaultColWidth="9" defaultRowHeight="15.75" outlineLevelCol="3"/>
  <cols>
    <col min="1" max="1" width="51.875" style="140" customWidth="1"/>
    <col min="2" max="2" width="10.375" style="140" customWidth="1"/>
    <col min="3" max="3" width="9.375" style="140" customWidth="1"/>
    <col min="4" max="4" width="12" style="140" customWidth="1"/>
    <col min="5" max="16384" width="9" style="140"/>
  </cols>
  <sheetData>
    <row r="1" s="140" customFormat="1" ht="18" customHeight="1" spans="1:4">
      <c r="A1" s="120" t="s">
        <v>4943</v>
      </c>
      <c r="B1" s="120"/>
      <c r="C1" s="120"/>
      <c r="D1" s="120"/>
    </row>
    <row r="2" s="140" customFormat="1" ht="18" customHeight="1" spans="4:4">
      <c r="D2" s="164" t="s">
        <v>4533</v>
      </c>
    </row>
    <row r="3" s="140" customFormat="1" ht="24.75" customHeight="1" spans="1:4">
      <c r="A3" s="144" t="s">
        <v>4944</v>
      </c>
      <c r="B3" s="145"/>
      <c r="C3" s="145"/>
      <c r="D3" s="146"/>
    </row>
    <row r="4" s="106" customFormat="1" ht="35.25" customHeight="1" spans="1:4">
      <c r="A4" s="42" t="s">
        <v>89</v>
      </c>
      <c r="B4" s="147" t="s">
        <v>4897</v>
      </c>
      <c r="C4" s="147" t="s">
        <v>4898</v>
      </c>
      <c r="D4" s="157" t="s">
        <v>1455</v>
      </c>
    </row>
    <row r="5" s="141" customFormat="1" ht="20.1" customHeight="1" spans="1:4">
      <c r="A5" s="127" t="s">
        <v>898</v>
      </c>
      <c r="B5" s="158">
        <f>SUM(B6)</f>
        <v>0</v>
      </c>
      <c r="C5" s="158">
        <f>SUM(C6)</f>
        <v>0</v>
      </c>
      <c r="D5" s="150"/>
    </row>
    <row r="6" s="141" customFormat="1" ht="20.1" customHeight="1" spans="1:4">
      <c r="A6" s="129" t="s">
        <v>1267</v>
      </c>
      <c r="B6" s="41"/>
      <c r="C6" s="41"/>
      <c r="D6" s="152"/>
    </row>
    <row r="7" s="141" customFormat="1" ht="20.1" customHeight="1" spans="1:4">
      <c r="A7" s="127" t="s">
        <v>915</v>
      </c>
      <c r="B7" s="149">
        <f>B8+B9</f>
        <v>0</v>
      </c>
      <c r="C7" s="149">
        <f>C8+C9</f>
        <v>0</v>
      </c>
      <c r="D7" s="150"/>
    </row>
    <row r="8" s="141" customFormat="1" ht="20.1" customHeight="1" spans="1:4">
      <c r="A8" s="130" t="s">
        <v>1268</v>
      </c>
      <c r="B8" s="41"/>
      <c r="C8" s="41"/>
      <c r="D8" s="152"/>
    </row>
    <row r="9" s="141" customFormat="1" ht="20.1" customHeight="1" spans="1:4">
      <c r="A9" s="129" t="s">
        <v>1267</v>
      </c>
      <c r="B9" s="41"/>
      <c r="C9" s="41"/>
      <c r="D9" s="152"/>
    </row>
    <row r="10" s="141" customFormat="1" ht="20.1" customHeight="1" spans="1:4">
      <c r="A10" s="127" t="s">
        <v>941</v>
      </c>
      <c r="B10" s="149">
        <f>SUM(B11:B14)</f>
        <v>9</v>
      </c>
      <c r="C10" s="149">
        <f>SUM(C11:C14)</f>
        <v>50</v>
      </c>
      <c r="D10" s="150">
        <f>C10/B10</f>
        <v>5.5556</v>
      </c>
    </row>
    <row r="11" s="141" customFormat="1" ht="20.1" customHeight="1" spans="1:4">
      <c r="A11" s="130" t="s">
        <v>1269</v>
      </c>
      <c r="B11" s="41">
        <v>9</v>
      </c>
      <c r="C11" s="41"/>
      <c r="D11" s="152">
        <f>C11/B11</f>
        <v>0</v>
      </c>
    </row>
    <row r="12" s="141" customFormat="1" ht="20.1" customHeight="1" spans="1:4">
      <c r="A12" s="130" t="s">
        <v>1270</v>
      </c>
      <c r="B12" s="41"/>
      <c r="C12" s="41">
        <v>50</v>
      </c>
      <c r="D12" s="152"/>
    </row>
    <row r="13" s="141" customFormat="1" ht="20.1" customHeight="1" spans="1:4">
      <c r="A13" s="130" t="s">
        <v>1271</v>
      </c>
      <c r="B13" s="41"/>
      <c r="C13" s="41"/>
      <c r="D13" s="152"/>
    </row>
    <row r="14" s="141" customFormat="1" ht="20.1" customHeight="1" spans="1:4">
      <c r="A14" s="129" t="s">
        <v>1267</v>
      </c>
      <c r="B14" s="41"/>
      <c r="C14" s="41"/>
      <c r="D14" s="152"/>
    </row>
    <row r="15" s="141" customFormat="1" ht="20.1" customHeight="1" spans="1:4">
      <c r="A15" s="127" t="s">
        <v>1272</v>
      </c>
      <c r="B15" s="149">
        <f>SUM(B16)</f>
        <v>0</v>
      </c>
      <c r="C15" s="149">
        <f>SUM(C16)</f>
        <v>0</v>
      </c>
      <c r="D15" s="150"/>
    </row>
    <row r="16" s="141" customFormat="1" ht="20.1" customHeight="1" spans="1:4">
      <c r="A16" s="129" t="s">
        <v>1267</v>
      </c>
      <c r="B16" s="41"/>
      <c r="C16" s="41"/>
      <c r="D16" s="152"/>
    </row>
    <row r="17" s="141" customFormat="1" ht="20.1" customHeight="1" spans="1:4">
      <c r="A17" s="127" t="s">
        <v>1273</v>
      </c>
      <c r="B17" s="149">
        <f>SUM(B18:B20)</f>
        <v>0</v>
      </c>
      <c r="C17" s="149">
        <f>SUM(C18:C20)</f>
        <v>0</v>
      </c>
      <c r="D17" s="150"/>
    </row>
    <row r="18" s="141" customFormat="1" ht="20.1" customHeight="1" spans="1:4">
      <c r="A18" s="129" t="s">
        <v>1274</v>
      </c>
      <c r="B18" s="41"/>
      <c r="C18" s="41"/>
      <c r="D18" s="152"/>
    </row>
    <row r="19" s="141" customFormat="1" ht="20.1" customHeight="1" spans="1:4">
      <c r="A19" s="129" t="s">
        <v>1275</v>
      </c>
      <c r="B19" s="41"/>
      <c r="C19" s="41"/>
      <c r="D19" s="152"/>
    </row>
    <row r="20" s="141" customFormat="1" ht="20.1" customHeight="1" spans="1:4">
      <c r="A20" s="129" t="s">
        <v>1267</v>
      </c>
      <c r="B20" s="41"/>
      <c r="C20" s="41"/>
      <c r="D20" s="152"/>
    </row>
    <row r="21" s="141" customFormat="1" ht="20.1" customHeight="1" spans="1:4">
      <c r="A21" s="127" t="s">
        <v>1276</v>
      </c>
      <c r="B21" s="149">
        <f>SUM(B22:B32)</f>
        <v>30405</v>
      </c>
      <c r="C21" s="149">
        <f>SUM(C22:C32)</f>
        <v>19533</v>
      </c>
      <c r="D21" s="150">
        <f t="shared" ref="D21:D26" si="0">C21/B21</f>
        <v>0.6424</v>
      </c>
    </row>
    <row r="22" s="141" customFormat="1" ht="20.1" customHeight="1" spans="1:4">
      <c r="A22" s="129" t="s">
        <v>1277</v>
      </c>
      <c r="B22" s="41">
        <v>7519</v>
      </c>
      <c r="C22" s="41">
        <f>17426+500</f>
        <v>17926</v>
      </c>
      <c r="D22" s="152">
        <f t="shared" si="0"/>
        <v>2.3841</v>
      </c>
    </row>
    <row r="23" s="106" customFormat="1" ht="20.1" customHeight="1" spans="1:4">
      <c r="A23" s="129" t="s">
        <v>1278</v>
      </c>
      <c r="B23" s="41"/>
      <c r="C23" s="41"/>
      <c r="D23" s="152"/>
    </row>
    <row r="24" s="106" customFormat="1" ht="20.1" customHeight="1" spans="1:4">
      <c r="A24" s="129" t="s">
        <v>1279</v>
      </c>
      <c r="B24" s="41"/>
      <c r="C24" s="41">
        <v>262</v>
      </c>
      <c r="D24" s="152"/>
    </row>
    <row r="25" s="106" customFormat="1" ht="20.1" customHeight="1" spans="1:4">
      <c r="A25" s="129" t="s">
        <v>1280</v>
      </c>
      <c r="B25" s="41">
        <v>150</v>
      </c>
      <c r="C25" s="41">
        <v>183</v>
      </c>
      <c r="D25" s="152">
        <f t="shared" si="0"/>
        <v>1.22</v>
      </c>
    </row>
    <row r="26" s="106" customFormat="1" ht="20.1" customHeight="1" spans="1:4">
      <c r="A26" s="129" t="s">
        <v>1281</v>
      </c>
      <c r="B26" s="41">
        <v>581</v>
      </c>
      <c r="C26" s="41">
        <v>1162</v>
      </c>
      <c r="D26" s="152">
        <f t="shared" si="0"/>
        <v>2</v>
      </c>
    </row>
    <row r="27" s="106" customFormat="1" ht="20.1" customHeight="1" spans="1:4">
      <c r="A27" s="129" t="s">
        <v>1282</v>
      </c>
      <c r="B27" s="41"/>
      <c r="C27" s="41"/>
      <c r="D27" s="152"/>
    </row>
    <row r="28" s="106" customFormat="1" ht="20.1" customHeight="1" spans="1:4">
      <c r="A28" s="129" t="s">
        <v>1283</v>
      </c>
      <c r="B28" s="41"/>
      <c r="C28" s="41"/>
      <c r="D28" s="152"/>
    </row>
    <row r="29" s="106" customFormat="1" ht="20.1" customHeight="1" spans="1:4">
      <c r="A29" s="129" t="s">
        <v>1284</v>
      </c>
      <c r="B29" s="41"/>
      <c r="C29" s="41"/>
      <c r="D29" s="152"/>
    </row>
    <row r="30" s="106" customFormat="1" ht="20.1" customHeight="1" spans="1:4">
      <c r="A30" s="129" t="s">
        <v>1285</v>
      </c>
      <c r="B30" s="41"/>
      <c r="C30" s="41"/>
      <c r="D30" s="152"/>
    </row>
    <row r="31" s="106" customFormat="1" ht="20.1" customHeight="1" spans="1:4">
      <c r="A31" s="129" t="s">
        <v>1286</v>
      </c>
      <c r="B31" s="41">
        <v>22155</v>
      </c>
      <c r="C31" s="41"/>
      <c r="D31" s="152">
        <f t="shared" ref="D31:D34" si="1">C31/B31</f>
        <v>0</v>
      </c>
    </row>
    <row r="32" s="106" customFormat="1" ht="20.1" customHeight="1" spans="1:4">
      <c r="A32" s="129" t="s">
        <v>1267</v>
      </c>
      <c r="B32" s="41"/>
      <c r="C32" s="41"/>
      <c r="D32" s="152"/>
    </row>
    <row r="33" s="106" customFormat="1" ht="20.1" customHeight="1" spans="1:4">
      <c r="A33" s="127" t="s">
        <v>1287</v>
      </c>
      <c r="B33" s="149">
        <f>SUM(B34:B42)</f>
        <v>820</v>
      </c>
      <c r="C33" s="149">
        <f>SUM(C34:C42)</f>
        <v>7790</v>
      </c>
      <c r="D33" s="150">
        <f t="shared" si="1"/>
        <v>9.5</v>
      </c>
    </row>
    <row r="34" s="106" customFormat="1" ht="20.1" customHeight="1" spans="1:4">
      <c r="A34" s="129" t="s">
        <v>1288</v>
      </c>
      <c r="B34" s="41">
        <v>10</v>
      </c>
      <c r="C34" s="41">
        <v>1081</v>
      </c>
      <c r="D34" s="152">
        <f t="shared" si="1"/>
        <v>108.1</v>
      </c>
    </row>
    <row r="35" s="106" customFormat="1" ht="19.9" customHeight="1" spans="1:4">
      <c r="A35" s="129" t="s">
        <v>1289</v>
      </c>
      <c r="B35" s="41"/>
      <c r="C35" s="41"/>
      <c r="D35" s="152"/>
    </row>
    <row r="36" s="106" customFormat="1" ht="20.1" customHeight="1" spans="1:4">
      <c r="A36" s="129" t="s">
        <v>1290</v>
      </c>
      <c r="B36" s="41">
        <v>7</v>
      </c>
      <c r="C36" s="41">
        <v>227</v>
      </c>
      <c r="D36" s="152">
        <f t="shared" ref="D36:D40" si="2">C36/B36</f>
        <v>32.4286</v>
      </c>
    </row>
    <row r="37" s="107" customFormat="1" ht="20.1" customHeight="1" spans="1:4">
      <c r="A37" s="129" t="s">
        <v>1291</v>
      </c>
      <c r="B37" s="41"/>
      <c r="C37" s="41"/>
      <c r="D37" s="152"/>
    </row>
    <row r="38" s="106" customFormat="1" ht="20.1" customHeight="1" spans="1:4">
      <c r="A38" s="131" t="s">
        <v>1292</v>
      </c>
      <c r="B38" s="41"/>
      <c r="C38" s="41"/>
      <c r="D38" s="152"/>
    </row>
    <row r="39" s="106" customFormat="1" ht="20.1" customHeight="1" spans="1:4">
      <c r="A39" s="131" t="s">
        <v>1293</v>
      </c>
      <c r="B39" s="41">
        <v>802</v>
      </c>
      <c r="C39" s="41">
        <v>6188</v>
      </c>
      <c r="D39" s="152">
        <f t="shared" si="2"/>
        <v>7.7157</v>
      </c>
    </row>
    <row r="40" s="106" customFormat="1" ht="20.1" customHeight="1" spans="1:4">
      <c r="A40" s="131" t="s">
        <v>1294</v>
      </c>
      <c r="B40" s="41">
        <v>1</v>
      </c>
      <c r="C40" s="41">
        <v>294</v>
      </c>
      <c r="D40" s="152">
        <f t="shared" si="2"/>
        <v>294</v>
      </c>
    </row>
    <row r="41" s="106" customFormat="1" ht="20.1" customHeight="1" spans="1:4">
      <c r="A41" s="131" t="s">
        <v>1295</v>
      </c>
      <c r="B41" s="41"/>
      <c r="C41" s="41"/>
      <c r="D41" s="152"/>
    </row>
    <row r="42" s="106" customFormat="1" ht="20.1" customHeight="1" spans="1:4">
      <c r="A42" s="131" t="s">
        <v>1267</v>
      </c>
      <c r="B42" s="41"/>
      <c r="C42" s="41"/>
      <c r="D42" s="152"/>
    </row>
    <row r="43" s="106" customFormat="1" ht="20.1" customHeight="1" spans="1:4">
      <c r="A43" s="127" t="s">
        <v>1296</v>
      </c>
      <c r="B43" s="149">
        <f>SUM(B44:B52)</f>
        <v>0</v>
      </c>
      <c r="C43" s="149">
        <f>SUM(C44:C52)</f>
        <v>0</v>
      </c>
      <c r="D43" s="150"/>
    </row>
    <row r="44" s="106" customFormat="1" ht="20.1" customHeight="1" spans="1:4">
      <c r="A44" s="129" t="s">
        <v>1297</v>
      </c>
      <c r="B44" s="41"/>
      <c r="C44" s="41"/>
      <c r="D44" s="152"/>
    </row>
    <row r="45" s="106" customFormat="1" ht="20.1" customHeight="1" spans="1:4">
      <c r="A45" s="129" t="s">
        <v>1298</v>
      </c>
      <c r="B45" s="41"/>
      <c r="C45" s="41"/>
      <c r="D45" s="152"/>
    </row>
    <row r="46" s="106" customFormat="1" ht="20.1" customHeight="1" spans="1:4">
      <c r="A46" s="129" t="s">
        <v>1299</v>
      </c>
      <c r="B46" s="41"/>
      <c r="C46" s="41"/>
      <c r="D46" s="152"/>
    </row>
    <row r="47" s="106" customFormat="1" ht="20.1" customHeight="1" spans="1:4">
      <c r="A47" s="129" t="s">
        <v>1300</v>
      </c>
      <c r="B47" s="41"/>
      <c r="C47" s="41"/>
      <c r="D47" s="152"/>
    </row>
    <row r="48" s="106" customFormat="1" ht="20.1" customHeight="1" spans="1:4">
      <c r="A48" s="129" t="s">
        <v>1301</v>
      </c>
      <c r="B48" s="41"/>
      <c r="C48" s="41"/>
      <c r="D48" s="152"/>
    </row>
    <row r="49" s="106" customFormat="1" ht="20.1" customHeight="1" spans="1:4">
      <c r="A49" s="129" t="s">
        <v>1302</v>
      </c>
      <c r="B49" s="41"/>
      <c r="C49" s="41"/>
      <c r="D49" s="152"/>
    </row>
    <row r="50" s="106" customFormat="1" ht="20.1" customHeight="1" spans="1:4">
      <c r="A50" s="129" t="s">
        <v>1303</v>
      </c>
      <c r="B50" s="41"/>
      <c r="C50" s="41"/>
      <c r="D50" s="152"/>
    </row>
    <row r="51" s="106" customFormat="1" ht="20.1" customHeight="1" spans="1:4">
      <c r="A51" s="129" t="s">
        <v>1304</v>
      </c>
      <c r="B51" s="41"/>
      <c r="C51" s="41"/>
      <c r="D51" s="152"/>
    </row>
    <row r="52" s="106" customFormat="1" ht="20.1" customHeight="1" spans="1:4">
      <c r="A52" s="129" t="s">
        <v>1267</v>
      </c>
      <c r="B52" s="41"/>
      <c r="C52" s="41"/>
      <c r="D52" s="152"/>
    </row>
    <row r="53" s="106" customFormat="1" ht="20.1" customHeight="1" spans="1:4">
      <c r="A53" s="127" t="s">
        <v>1305</v>
      </c>
      <c r="B53" s="149">
        <f>SUM(B54:B55)</f>
        <v>308</v>
      </c>
      <c r="C53" s="149">
        <f>SUM(C54:C55)</f>
        <v>97</v>
      </c>
      <c r="D53" s="150">
        <f>C53/B53</f>
        <v>0.3149</v>
      </c>
    </row>
    <row r="54" s="106" customFormat="1" ht="20.1" customHeight="1" spans="1:4">
      <c r="A54" s="129" t="s">
        <v>1306</v>
      </c>
      <c r="B54" s="41"/>
      <c r="C54" s="41"/>
      <c r="D54" s="152"/>
    </row>
    <row r="55" s="106" customFormat="1" ht="20.1" customHeight="1" spans="1:4">
      <c r="A55" s="129" t="s">
        <v>1267</v>
      </c>
      <c r="B55" s="41">
        <v>308</v>
      </c>
      <c r="C55" s="41">
        <v>97</v>
      </c>
      <c r="D55" s="152">
        <f>C55/B55</f>
        <v>0.3149</v>
      </c>
    </row>
    <row r="56" s="106" customFormat="1" ht="20.1" customHeight="1" spans="1:4">
      <c r="A56" s="127" t="s">
        <v>1307</v>
      </c>
      <c r="B56" s="149">
        <f t="shared" ref="B56:B60" si="3">SUM(B57)</f>
        <v>0</v>
      </c>
      <c r="C56" s="149">
        <f t="shared" ref="C56:C60" si="4">SUM(C57)</f>
        <v>0</v>
      </c>
      <c r="D56" s="150"/>
    </row>
    <row r="57" s="106" customFormat="1" ht="20.1" customHeight="1" spans="1:4">
      <c r="A57" s="129" t="s">
        <v>1308</v>
      </c>
      <c r="B57" s="41"/>
      <c r="C57" s="41"/>
      <c r="D57" s="152"/>
    </row>
    <row r="58" s="106" customFormat="1" ht="20.1" customHeight="1" spans="1:4">
      <c r="A58" s="127" t="s">
        <v>1309</v>
      </c>
      <c r="B58" s="149">
        <f t="shared" si="3"/>
        <v>0</v>
      </c>
      <c r="C58" s="149">
        <f t="shared" si="4"/>
        <v>0</v>
      </c>
      <c r="D58" s="150"/>
    </row>
    <row r="59" s="106" customFormat="1" ht="20.1" customHeight="1" spans="1:4">
      <c r="A59" s="129" t="s">
        <v>1310</v>
      </c>
      <c r="B59" s="41"/>
      <c r="C59" s="41"/>
      <c r="D59" s="152"/>
    </row>
    <row r="60" s="106" customFormat="1" ht="20.1" customHeight="1" spans="1:4">
      <c r="A60" s="127" t="s">
        <v>1311</v>
      </c>
      <c r="B60" s="149">
        <f t="shared" si="3"/>
        <v>0</v>
      </c>
      <c r="C60" s="149">
        <f t="shared" si="4"/>
        <v>0</v>
      </c>
      <c r="D60" s="150"/>
    </row>
    <row r="61" s="106" customFormat="1" ht="20.1" customHeight="1" spans="1:4">
      <c r="A61" s="129" t="s">
        <v>1267</v>
      </c>
      <c r="B61" s="41"/>
      <c r="C61" s="41"/>
      <c r="D61" s="152"/>
    </row>
    <row r="62" s="106" customFormat="1" ht="20.1" customHeight="1" spans="1:4">
      <c r="A62" s="127" t="s">
        <v>1312</v>
      </c>
      <c r="B62" s="149">
        <f>SUM(B63)</f>
        <v>0</v>
      </c>
      <c r="C62" s="149">
        <f>SUM(C63)</f>
        <v>0</v>
      </c>
      <c r="D62" s="150"/>
    </row>
    <row r="63" s="106" customFormat="1" ht="20.1" customHeight="1" spans="1:4">
      <c r="A63" s="129" t="s">
        <v>1267</v>
      </c>
      <c r="B63" s="41"/>
      <c r="C63" s="41"/>
      <c r="D63" s="152"/>
    </row>
    <row r="64" s="106" customFormat="1" ht="20.1" customHeight="1" spans="1:4">
      <c r="A64" s="127" t="s">
        <v>1313</v>
      </c>
      <c r="B64" s="149">
        <f>SUM(B65)</f>
        <v>0</v>
      </c>
      <c r="C64" s="149">
        <f>SUM(C65)</f>
        <v>0</v>
      </c>
      <c r="D64" s="150"/>
    </row>
    <row r="65" s="106" customFormat="1" ht="20.1" customHeight="1" spans="1:4">
      <c r="A65" s="129" t="s">
        <v>1267</v>
      </c>
      <c r="B65" s="41"/>
      <c r="C65" s="41"/>
      <c r="D65" s="152"/>
    </row>
    <row r="66" s="140" customFormat="1" ht="20.1" customHeight="1" spans="1:4">
      <c r="A66" s="127" t="s">
        <v>1314</v>
      </c>
      <c r="B66" s="149">
        <f>SUM(B67:B72)</f>
        <v>320</v>
      </c>
      <c r="C66" s="149">
        <f>SUM(C67:C72)</f>
        <v>2244</v>
      </c>
      <c r="D66" s="150">
        <f>C66/B66</f>
        <v>7.0125</v>
      </c>
    </row>
    <row r="67" s="140" customFormat="1" ht="20.1" customHeight="1" spans="1:4">
      <c r="A67" s="129" t="s">
        <v>1315</v>
      </c>
      <c r="B67" s="41"/>
      <c r="C67" s="41">
        <v>748</v>
      </c>
      <c r="D67" s="152"/>
    </row>
    <row r="68" s="140" customFormat="1" ht="20.1" customHeight="1" spans="1:4">
      <c r="A68" s="129" t="s">
        <v>1316</v>
      </c>
      <c r="B68" s="41"/>
      <c r="C68" s="41"/>
      <c r="D68" s="152"/>
    </row>
    <row r="69" s="140" customFormat="1" ht="20.1" customHeight="1" spans="1:4">
      <c r="A69" s="129" t="s">
        <v>1317</v>
      </c>
      <c r="B69" s="41"/>
      <c r="C69" s="41"/>
      <c r="D69" s="152"/>
    </row>
    <row r="70" s="140" customFormat="1" ht="20.1" customHeight="1" spans="1:4">
      <c r="A70" s="129" t="s">
        <v>1318</v>
      </c>
      <c r="B70" s="41"/>
      <c r="C70" s="41"/>
      <c r="D70" s="152"/>
    </row>
    <row r="71" s="140" customFormat="1" ht="20.1" customHeight="1" spans="1:4">
      <c r="A71" s="129" t="s">
        <v>1319</v>
      </c>
      <c r="B71" s="41">
        <v>320</v>
      </c>
      <c r="C71" s="41">
        <v>1496</v>
      </c>
      <c r="D71" s="152">
        <f t="shared" ref="D71:D76" si="5">C71/B71</f>
        <v>4.675</v>
      </c>
    </row>
    <row r="72" s="140" customFormat="1" ht="20.1" customHeight="1" spans="1:4">
      <c r="A72" s="129" t="s">
        <v>1320</v>
      </c>
      <c r="B72" s="41"/>
      <c r="C72" s="41"/>
      <c r="D72" s="152"/>
    </row>
    <row r="73" s="140" customFormat="1" ht="20.1" customHeight="1" spans="1:4">
      <c r="A73" s="163" t="s">
        <v>1325</v>
      </c>
      <c r="B73" s="149">
        <f>SUM(B74)</f>
        <v>2845</v>
      </c>
      <c r="C73" s="149">
        <f>SUM(C74)</f>
        <v>2360</v>
      </c>
      <c r="D73" s="150">
        <f t="shared" si="5"/>
        <v>0.8295</v>
      </c>
    </row>
    <row r="74" s="140" customFormat="1" ht="20.1" customHeight="1" spans="1:4">
      <c r="A74" s="129" t="s">
        <v>1326</v>
      </c>
      <c r="B74" s="41">
        <v>2845</v>
      </c>
      <c r="C74" s="41">
        <v>2360</v>
      </c>
      <c r="D74" s="152">
        <f t="shared" si="5"/>
        <v>0.8295</v>
      </c>
    </row>
    <row r="75" s="140" customFormat="1" ht="20.1" customHeight="1" spans="1:4">
      <c r="A75" s="163" t="s">
        <v>1327</v>
      </c>
      <c r="B75" s="149">
        <f>SUM(B76)</f>
        <v>23</v>
      </c>
      <c r="C75" s="149">
        <f>SUM(C76)</f>
        <v>0</v>
      </c>
      <c r="D75" s="150">
        <f t="shared" si="5"/>
        <v>0</v>
      </c>
    </row>
    <row r="76" s="140" customFormat="1" ht="20.1" customHeight="1" spans="1:4">
      <c r="A76" s="129" t="s">
        <v>1328</v>
      </c>
      <c r="B76" s="41">
        <v>23</v>
      </c>
      <c r="C76" s="41"/>
      <c r="D76" s="152">
        <f t="shared" si="5"/>
        <v>0</v>
      </c>
    </row>
    <row r="77" s="140" customFormat="1" ht="20.1" customHeight="1" spans="1:4">
      <c r="A77" s="163" t="s">
        <v>1329</v>
      </c>
      <c r="B77" s="149">
        <f>SUM(B78:B79)</f>
        <v>0</v>
      </c>
      <c r="C77" s="149">
        <f>SUM(C78:C79)</f>
        <v>0</v>
      </c>
      <c r="D77" s="150"/>
    </row>
    <row r="78" s="140" customFormat="1" ht="20.1" customHeight="1" spans="1:4">
      <c r="A78" s="129" t="s">
        <v>1330</v>
      </c>
      <c r="B78" s="41"/>
      <c r="C78" s="41"/>
      <c r="D78" s="152"/>
    </row>
    <row r="79" s="140" customFormat="1" ht="20.1" customHeight="1" spans="1:4">
      <c r="A79" s="129" t="s">
        <v>1331</v>
      </c>
      <c r="B79" s="41"/>
      <c r="C79" s="41"/>
      <c r="D79" s="152"/>
    </row>
    <row r="80" s="140" customFormat="1" ht="20.1" customHeight="1" spans="1:4">
      <c r="A80" s="137"/>
      <c r="B80" s="41"/>
      <c r="C80" s="41"/>
      <c r="D80" s="152"/>
    </row>
    <row r="81" spans="1:4">
      <c r="A81" s="137"/>
      <c r="B81" s="41"/>
      <c r="C81" s="41"/>
      <c r="D81" s="152"/>
    </row>
    <row r="82" spans="1:4">
      <c r="A82" s="138" t="s">
        <v>3546</v>
      </c>
      <c r="B82" s="139">
        <f>B5+B7+B10+B15+B17+B21+B33+B43+B53+B56+B58+B60+B62+B64+B66+B73+B75+B77</f>
        <v>34730</v>
      </c>
      <c r="C82" s="139">
        <f>C5+C7+C10+C15+C17+C21+C33+C43+C53+C56+C58+C60+C62+C64+C66+C73+C75+C77</f>
        <v>32074</v>
      </c>
      <c r="D82" s="159">
        <f>C82/B82</f>
        <v>0.9235</v>
      </c>
    </row>
    <row r="83" spans="1:4">
      <c r="A83" s="163" t="s">
        <v>1237</v>
      </c>
      <c r="B83" s="149">
        <f>SUM(B84:B89)</f>
        <v>19865</v>
      </c>
      <c r="C83" s="149">
        <f>SUM(C84:C89)</f>
        <v>0</v>
      </c>
      <c r="D83" s="150">
        <f>C83/B83</f>
        <v>0</v>
      </c>
    </row>
    <row r="84" spans="1:4">
      <c r="A84" s="131" t="s">
        <v>4945</v>
      </c>
      <c r="B84" s="41"/>
      <c r="C84" s="41"/>
      <c r="D84" s="152"/>
    </row>
    <row r="85" spans="1:4">
      <c r="A85" s="131" t="s">
        <v>1241</v>
      </c>
      <c r="B85" s="41"/>
      <c r="C85" s="41"/>
      <c r="D85" s="152"/>
    </row>
    <row r="86" spans="1:4">
      <c r="A86" s="131" t="s">
        <v>1243</v>
      </c>
      <c r="B86" s="41"/>
      <c r="C86" s="41"/>
      <c r="D86" s="152"/>
    </row>
    <row r="87" spans="1:4">
      <c r="A87" s="131" t="s">
        <v>1245</v>
      </c>
      <c r="B87" s="41">
        <v>19865</v>
      </c>
      <c r="C87" s="41"/>
      <c r="D87" s="152"/>
    </row>
    <row r="88" spans="1:4">
      <c r="A88" s="131" t="s">
        <v>1247</v>
      </c>
      <c r="B88" s="41"/>
      <c r="C88" s="41"/>
      <c r="D88" s="152"/>
    </row>
    <row r="89" spans="1:4">
      <c r="A89" s="131" t="s">
        <v>1249</v>
      </c>
      <c r="B89" s="41"/>
      <c r="C89" s="41"/>
      <c r="D89" s="152"/>
    </row>
    <row r="90" spans="1:4">
      <c r="A90" s="163" t="s">
        <v>4946</v>
      </c>
      <c r="B90" s="149">
        <f>SUM(B91:B93)</f>
        <v>5782</v>
      </c>
      <c r="C90" s="149">
        <f>SUM(C91:C93)</f>
        <v>0</v>
      </c>
      <c r="D90" s="150">
        <f>C90/B90</f>
        <v>0</v>
      </c>
    </row>
    <row r="91" spans="1:4">
      <c r="A91" s="129" t="s">
        <v>1322</v>
      </c>
      <c r="B91" s="41">
        <v>5782</v>
      </c>
      <c r="C91" s="41"/>
      <c r="D91" s="152">
        <f>C91/B91</f>
        <v>0</v>
      </c>
    </row>
    <row r="92" spans="1:4">
      <c r="A92" s="129" t="s">
        <v>1323</v>
      </c>
      <c r="B92" s="41"/>
      <c r="C92" s="41"/>
      <c r="D92" s="152"/>
    </row>
    <row r="93" spans="1:4">
      <c r="A93" s="129" t="s">
        <v>1324</v>
      </c>
      <c r="B93" s="41"/>
      <c r="C93" s="41"/>
      <c r="D93" s="152"/>
    </row>
    <row r="94" spans="1:4">
      <c r="A94" s="41"/>
      <c r="B94" s="41"/>
      <c r="C94" s="41"/>
      <c r="D94" s="152"/>
    </row>
    <row r="95" spans="1:4">
      <c r="A95" s="41"/>
      <c r="B95" s="41"/>
      <c r="C95" s="41"/>
      <c r="D95" s="152"/>
    </row>
    <row r="96" spans="1:4">
      <c r="A96" s="42" t="s">
        <v>1333</v>
      </c>
      <c r="B96" s="41">
        <f>B82+B83+B90</f>
        <v>60377</v>
      </c>
      <c r="C96" s="41">
        <f>C82+C83+C90</f>
        <v>32074</v>
      </c>
      <c r="D96" s="152">
        <f>C96/B96</f>
        <v>0.5312</v>
      </c>
    </row>
  </sheetData>
  <mergeCells count="2">
    <mergeCell ref="A1:D1"/>
    <mergeCell ref="A3:D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1"/>
  <sheetViews>
    <sheetView showZeros="0" zoomScaleSheetLayoutView="60" workbookViewId="0">
      <selection activeCell="I26" sqref="I26"/>
    </sheetView>
  </sheetViews>
  <sheetFormatPr defaultColWidth="9" defaultRowHeight="15.75" outlineLevelCol="7"/>
  <cols>
    <col min="1" max="1" width="36.5" style="140" customWidth="1"/>
    <col min="2" max="2" width="10.5" style="140" customWidth="1"/>
    <col min="3" max="3" width="8.625" style="140" customWidth="1"/>
    <col min="4" max="4" width="11.5" style="140" customWidth="1"/>
    <col min="5" max="5" width="51.875" style="140" customWidth="1"/>
    <col min="6" max="6" width="10.375" style="140" customWidth="1"/>
    <col min="7" max="7" width="9.375" style="140" customWidth="1"/>
    <col min="8" max="8" width="12" style="142" customWidth="1"/>
    <col min="9" max="16384" width="9" style="140"/>
  </cols>
  <sheetData>
    <row r="1" s="140" customFormat="1" ht="18" customHeight="1" spans="1:8">
      <c r="A1" s="698" t="s">
        <v>4947</v>
      </c>
      <c r="B1" s="120"/>
      <c r="C1" s="120"/>
      <c r="D1" s="120"/>
      <c r="E1" s="120"/>
      <c r="F1" s="120"/>
      <c r="G1" s="120"/>
      <c r="H1" s="154"/>
    </row>
    <row r="2" s="140" customFormat="1" ht="18" customHeight="1" spans="1:8">
      <c r="A2" s="143"/>
      <c r="H2" s="155" t="s">
        <v>4533</v>
      </c>
    </row>
    <row r="3" s="140" customFormat="1" ht="24.75" customHeight="1" spans="1:8">
      <c r="A3" s="144" t="s">
        <v>4896</v>
      </c>
      <c r="B3" s="145"/>
      <c r="C3" s="145"/>
      <c r="D3" s="146"/>
      <c r="E3" s="144" t="s">
        <v>4944</v>
      </c>
      <c r="F3" s="145"/>
      <c r="G3" s="145"/>
      <c r="H3" s="156"/>
    </row>
    <row r="4" s="106" customFormat="1" ht="35.25" customHeight="1" spans="1:8">
      <c r="A4" s="42" t="s">
        <v>89</v>
      </c>
      <c r="B4" s="147" t="s">
        <v>4897</v>
      </c>
      <c r="C4" s="147" t="s">
        <v>4898</v>
      </c>
      <c r="D4" s="147" t="s">
        <v>1455</v>
      </c>
      <c r="E4" s="42" t="s">
        <v>89</v>
      </c>
      <c r="F4" s="147" t="s">
        <v>4897</v>
      </c>
      <c r="G4" s="147" t="s">
        <v>4898</v>
      </c>
      <c r="H4" s="157" t="s">
        <v>1455</v>
      </c>
    </row>
    <row r="5" s="141" customFormat="1" ht="20.1" customHeight="1" spans="1:8">
      <c r="A5" s="148" t="s">
        <v>897</v>
      </c>
      <c r="B5" s="149">
        <f>SUM(B6:B34)</f>
        <v>11294</v>
      </c>
      <c r="C5" s="149">
        <f>SUM(C6:C34)</f>
        <v>10780</v>
      </c>
      <c r="D5" s="150">
        <f>C5/B5</f>
        <v>0.9545</v>
      </c>
      <c r="E5" s="127" t="s">
        <v>898</v>
      </c>
      <c r="F5" s="158">
        <f>SUM(F6)</f>
        <v>0</v>
      </c>
      <c r="G5" s="158">
        <f>SUM(G6)</f>
        <v>0</v>
      </c>
      <c r="H5" s="150"/>
    </row>
    <row r="6" s="141" customFormat="1" ht="20.1" customHeight="1" spans="1:8">
      <c r="A6" s="151" t="s">
        <v>4899</v>
      </c>
      <c r="B6" s="41"/>
      <c r="C6" s="41"/>
      <c r="D6" s="152"/>
      <c r="E6" s="129" t="s">
        <v>1267</v>
      </c>
      <c r="F6" s="41"/>
      <c r="G6" s="41"/>
      <c r="H6" s="152"/>
    </row>
    <row r="7" s="141" customFormat="1" ht="20.1" customHeight="1" spans="1:8">
      <c r="A7" s="151" t="s">
        <v>4900</v>
      </c>
      <c r="B7" s="41"/>
      <c r="C7" s="41"/>
      <c r="D7" s="152"/>
      <c r="E7" s="127" t="s">
        <v>915</v>
      </c>
      <c r="F7" s="149">
        <f>F8+F9</f>
        <v>0</v>
      </c>
      <c r="G7" s="149">
        <f>G8+G9</f>
        <v>0</v>
      </c>
      <c r="H7" s="150"/>
    </row>
    <row r="8" s="141" customFormat="1" ht="20.1" customHeight="1" spans="1:8">
      <c r="A8" s="151" t="s">
        <v>4901</v>
      </c>
      <c r="B8" s="41"/>
      <c r="C8" s="41"/>
      <c r="D8" s="152"/>
      <c r="E8" s="130" t="s">
        <v>1268</v>
      </c>
      <c r="F8" s="41"/>
      <c r="G8" s="41"/>
      <c r="H8" s="152"/>
    </row>
    <row r="9" s="141" customFormat="1" ht="20.1" customHeight="1" spans="1:8">
      <c r="A9" s="151" t="s">
        <v>4902</v>
      </c>
      <c r="B9" s="41"/>
      <c r="C9" s="41"/>
      <c r="D9" s="152"/>
      <c r="E9" s="129" t="s">
        <v>1267</v>
      </c>
      <c r="F9" s="41"/>
      <c r="G9" s="41"/>
      <c r="H9" s="152"/>
    </row>
    <row r="10" s="141" customFormat="1" ht="20.1" customHeight="1" spans="1:8">
      <c r="A10" s="151" t="s">
        <v>4903</v>
      </c>
      <c r="B10" s="41"/>
      <c r="C10" s="41"/>
      <c r="D10" s="152"/>
      <c r="E10" s="127" t="s">
        <v>941</v>
      </c>
      <c r="F10" s="149">
        <f>SUM(F11:F14)</f>
        <v>9</v>
      </c>
      <c r="G10" s="149">
        <f>SUM(G11:G14)</f>
        <v>50</v>
      </c>
      <c r="H10" s="150">
        <f>G10/F10</f>
        <v>5.5556</v>
      </c>
    </row>
    <row r="11" s="141" customFormat="1" ht="20.1" customHeight="1" spans="1:8">
      <c r="A11" s="151" t="s">
        <v>4904</v>
      </c>
      <c r="B11" s="41"/>
      <c r="C11" s="41"/>
      <c r="D11" s="152"/>
      <c r="E11" s="130" t="s">
        <v>1269</v>
      </c>
      <c r="F11" s="41">
        <v>9</v>
      </c>
      <c r="G11" s="41"/>
      <c r="H11" s="152">
        <f>G11/F11</f>
        <v>0</v>
      </c>
    </row>
    <row r="12" s="141" customFormat="1" ht="20.1" customHeight="1" spans="1:8">
      <c r="A12" s="151" t="s">
        <v>4905</v>
      </c>
      <c r="B12" s="41"/>
      <c r="C12" s="41"/>
      <c r="D12" s="152"/>
      <c r="E12" s="130" t="s">
        <v>1270</v>
      </c>
      <c r="F12" s="41"/>
      <c r="G12" s="41">
        <v>50</v>
      </c>
      <c r="H12" s="152"/>
    </row>
    <row r="13" s="141" customFormat="1" ht="20.1" customHeight="1" spans="1:8">
      <c r="A13" s="151" t="s">
        <v>4906</v>
      </c>
      <c r="B13" s="41"/>
      <c r="C13" s="41"/>
      <c r="D13" s="152"/>
      <c r="E13" s="130" t="s">
        <v>1271</v>
      </c>
      <c r="F13" s="41"/>
      <c r="G13" s="41"/>
      <c r="H13" s="152"/>
    </row>
    <row r="14" s="141" customFormat="1" ht="20.1" customHeight="1" spans="1:8">
      <c r="A14" s="151" t="s">
        <v>4907</v>
      </c>
      <c r="B14" s="41">
        <v>10630</v>
      </c>
      <c r="C14" s="41">
        <v>10000</v>
      </c>
      <c r="D14" s="152">
        <f>C14/B14</f>
        <v>0.9407</v>
      </c>
      <c r="E14" s="129" t="s">
        <v>1267</v>
      </c>
      <c r="F14" s="41"/>
      <c r="G14" s="41"/>
      <c r="H14" s="152"/>
    </row>
    <row r="15" s="141" customFormat="1" ht="20.1" customHeight="1" spans="1:8">
      <c r="A15" s="151" t="s">
        <v>4908</v>
      </c>
      <c r="B15" s="41"/>
      <c r="C15" s="41"/>
      <c r="D15" s="152"/>
      <c r="E15" s="127" t="s">
        <v>1272</v>
      </c>
      <c r="F15" s="149">
        <f>SUM(F16)</f>
        <v>0</v>
      </c>
      <c r="G15" s="149">
        <f>SUM(G16)</f>
        <v>0</v>
      </c>
      <c r="H15" s="150"/>
    </row>
    <row r="16" s="141" customFormat="1" ht="20.1" customHeight="1" spans="1:8">
      <c r="A16" s="151" t="s">
        <v>4909</v>
      </c>
      <c r="B16" s="41"/>
      <c r="C16" s="41"/>
      <c r="D16" s="152"/>
      <c r="E16" s="129" t="s">
        <v>1267</v>
      </c>
      <c r="F16" s="41"/>
      <c r="G16" s="41"/>
      <c r="H16" s="152"/>
    </row>
    <row r="17" s="141" customFormat="1" ht="20.1" customHeight="1" spans="1:8">
      <c r="A17" s="151" t="s">
        <v>4910</v>
      </c>
      <c r="B17" s="41"/>
      <c r="C17" s="41"/>
      <c r="D17" s="152"/>
      <c r="E17" s="127" t="s">
        <v>1273</v>
      </c>
      <c r="F17" s="149">
        <f>SUM(F18:F20)</f>
        <v>0</v>
      </c>
      <c r="G17" s="149">
        <f>SUM(G18:G20)</f>
        <v>0</v>
      </c>
      <c r="H17" s="150"/>
    </row>
    <row r="18" s="141" customFormat="1" ht="20.1" customHeight="1" spans="1:8">
      <c r="A18" s="151" t="s">
        <v>4911</v>
      </c>
      <c r="B18" s="41"/>
      <c r="C18" s="41"/>
      <c r="D18" s="152"/>
      <c r="E18" s="129" t="s">
        <v>1274</v>
      </c>
      <c r="F18" s="41"/>
      <c r="G18" s="41"/>
      <c r="H18" s="152"/>
    </row>
    <row r="19" s="141" customFormat="1" ht="20.1" customHeight="1" spans="1:8">
      <c r="A19" s="151" t="s">
        <v>4912</v>
      </c>
      <c r="B19" s="41"/>
      <c r="C19" s="41"/>
      <c r="D19" s="152"/>
      <c r="E19" s="129" t="s">
        <v>1275</v>
      </c>
      <c r="F19" s="41"/>
      <c r="G19" s="41"/>
      <c r="H19" s="152"/>
    </row>
    <row r="20" s="141" customFormat="1" ht="20.1" customHeight="1" spans="1:8">
      <c r="A20" s="151" t="s">
        <v>4913</v>
      </c>
      <c r="B20" s="41"/>
      <c r="C20" s="41"/>
      <c r="D20" s="152"/>
      <c r="E20" s="129" t="s">
        <v>1267</v>
      </c>
      <c r="F20" s="41"/>
      <c r="G20" s="41"/>
      <c r="H20" s="152"/>
    </row>
    <row r="21" s="141" customFormat="1" ht="20.1" customHeight="1" spans="1:8">
      <c r="A21" s="151" t="s">
        <v>4914</v>
      </c>
      <c r="B21" s="41">
        <v>217</v>
      </c>
      <c r="C21" s="41">
        <v>80</v>
      </c>
      <c r="D21" s="152">
        <f>C21/B21</f>
        <v>0.3687</v>
      </c>
      <c r="E21" s="127" t="s">
        <v>1276</v>
      </c>
      <c r="F21" s="149">
        <f>SUM(F22:F32)</f>
        <v>30405</v>
      </c>
      <c r="G21" s="149">
        <f>SUM(G22:G32)</f>
        <v>19533</v>
      </c>
      <c r="H21" s="150">
        <f t="shared" ref="H21:H26" si="0">G21/F21</f>
        <v>0.6424</v>
      </c>
    </row>
    <row r="22" s="141" customFormat="1" ht="20.1" customHeight="1" spans="1:8">
      <c r="A22" s="151" t="s">
        <v>4915</v>
      </c>
      <c r="B22" s="41"/>
      <c r="C22" s="41"/>
      <c r="D22" s="152"/>
      <c r="E22" s="129" t="s">
        <v>1277</v>
      </c>
      <c r="F22" s="41">
        <v>7519</v>
      </c>
      <c r="G22" s="41">
        <f>17426+500</f>
        <v>17926</v>
      </c>
      <c r="H22" s="152">
        <f t="shared" si="0"/>
        <v>2.3841</v>
      </c>
    </row>
    <row r="23" s="106" customFormat="1" ht="20.1" customHeight="1" spans="1:8">
      <c r="A23" s="151" t="s">
        <v>4916</v>
      </c>
      <c r="B23" s="41"/>
      <c r="C23" s="41"/>
      <c r="D23" s="152"/>
      <c r="E23" s="129" t="s">
        <v>1278</v>
      </c>
      <c r="F23" s="41"/>
      <c r="G23" s="41"/>
      <c r="H23" s="152"/>
    </row>
    <row r="24" s="106" customFormat="1" ht="20.1" customHeight="1" spans="1:8">
      <c r="A24" s="151" t="s">
        <v>4917</v>
      </c>
      <c r="B24" s="41"/>
      <c r="C24" s="41"/>
      <c r="D24" s="152"/>
      <c r="E24" s="129" t="s">
        <v>1279</v>
      </c>
      <c r="F24" s="41"/>
      <c r="G24" s="41">
        <v>262</v>
      </c>
      <c r="H24" s="152"/>
    </row>
    <row r="25" s="106" customFormat="1" ht="20.1" customHeight="1" spans="1:8">
      <c r="A25" s="151" t="s">
        <v>4918</v>
      </c>
      <c r="B25" s="41"/>
      <c r="C25" s="41"/>
      <c r="D25" s="152"/>
      <c r="E25" s="129" t="s">
        <v>1280</v>
      </c>
      <c r="F25" s="41">
        <v>150</v>
      </c>
      <c r="G25" s="41">
        <v>183</v>
      </c>
      <c r="H25" s="152">
        <f t="shared" si="0"/>
        <v>1.22</v>
      </c>
    </row>
    <row r="26" s="106" customFormat="1" ht="20.1" customHeight="1" spans="1:8">
      <c r="A26" s="151" t="s">
        <v>4919</v>
      </c>
      <c r="B26" s="41"/>
      <c r="C26" s="41"/>
      <c r="D26" s="152"/>
      <c r="E26" s="129" t="s">
        <v>1281</v>
      </c>
      <c r="F26" s="41">
        <v>581</v>
      </c>
      <c r="G26" s="41">
        <v>1162</v>
      </c>
      <c r="H26" s="152">
        <f t="shared" si="0"/>
        <v>2</v>
      </c>
    </row>
    <row r="27" s="106" customFormat="1" ht="20.1" customHeight="1" spans="1:8">
      <c r="A27" s="151" t="s">
        <v>4920</v>
      </c>
      <c r="B27" s="41"/>
      <c r="C27" s="41"/>
      <c r="D27" s="152"/>
      <c r="E27" s="129" t="s">
        <v>1282</v>
      </c>
      <c r="F27" s="41"/>
      <c r="G27" s="41"/>
      <c r="H27" s="152"/>
    </row>
    <row r="28" s="106" customFormat="1" ht="20.1" customHeight="1" spans="1:8">
      <c r="A28" s="151" t="s">
        <v>4921</v>
      </c>
      <c r="B28" s="41"/>
      <c r="C28" s="41"/>
      <c r="D28" s="152"/>
      <c r="E28" s="129" t="s">
        <v>1283</v>
      </c>
      <c r="F28" s="41"/>
      <c r="G28" s="41"/>
      <c r="H28" s="152"/>
    </row>
    <row r="29" s="106" customFormat="1" ht="20.1" customHeight="1" spans="1:8">
      <c r="A29" s="151" t="s">
        <v>4922</v>
      </c>
      <c r="B29" s="41">
        <v>447</v>
      </c>
      <c r="C29" s="41">
        <v>700</v>
      </c>
      <c r="D29" s="152"/>
      <c r="E29" s="129" t="s">
        <v>1284</v>
      </c>
      <c r="F29" s="41"/>
      <c r="G29" s="41"/>
      <c r="H29" s="152"/>
    </row>
    <row r="30" s="106" customFormat="1" ht="20.1" customHeight="1" spans="1:8">
      <c r="A30" s="151" t="s">
        <v>4923</v>
      </c>
      <c r="B30" s="41"/>
      <c r="C30" s="41"/>
      <c r="D30" s="152"/>
      <c r="E30" s="129" t="s">
        <v>1285</v>
      </c>
      <c r="F30" s="41"/>
      <c r="G30" s="41"/>
      <c r="H30" s="152"/>
    </row>
    <row r="31" s="106" customFormat="1" ht="20.1" customHeight="1" spans="1:8">
      <c r="A31" s="151" t="s">
        <v>4924</v>
      </c>
      <c r="B31" s="41"/>
      <c r="C31" s="41"/>
      <c r="D31" s="152"/>
      <c r="E31" s="129" t="s">
        <v>1286</v>
      </c>
      <c r="F31" s="41">
        <v>22155</v>
      </c>
      <c r="G31" s="41"/>
      <c r="H31" s="152">
        <f t="shared" ref="H31:H34" si="1">G31/F31</f>
        <v>0</v>
      </c>
    </row>
    <row r="32" s="106" customFormat="1" ht="20.1" customHeight="1" spans="1:8">
      <c r="A32" s="151" t="s">
        <v>4925</v>
      </c>
      <c r="B32" s="41"/>
      <c r="C32" s="41"/>
      <c r="D32" s="152"/>
      <c r="E32" s="129" t="s">
        <v>1267</v>
      </c>
      <c r="F32" s="41"/>
      <c r="G32" s="41"/>
      <c r="H32" s="152"/>
    </row>
    <row r="33" s="106" customFormat="1" ht="20.1" customHeight="1" spans="1:8">
      <c r="A33" s="151" t="s">
        <v>4926</v>
      </c>
      <c r="B33" s="41"/>
      <c r="C33" s="41"/>
      <c r="D33" s="152"/>
      <c r="E33" s="127" t="s">
        <v>1287</v>
      </c>
      <c r="F33" s="149">
        <f>SUM(F34:F42)</f>
        <v>820</v>
      </c>
      <c r="G33" s="149">
        <f>SUM(G34:G42)</f>
        <v>7790</v>
      </c>
      <c r="H33" s="150">
        <f t="shared" si="1"/>
        <v>9.5</v>
      </c>
    </row>
    <row r="34" s="106" customFormat="1" ht="20.1" customHeight="1" spans="1:8">
      <c r="A34" s="151" t="s">
        <v>4927</v>
      </c>
      <c r="B34" s="41"/>
      <c r="C34" s="41"/>
      <c r="D34" s="152"/>
      <c r="E34" s="129" t="s">
        <v>1288</v>
      </c>
      <c r="F34" s="41">
        <v>10</v>
      </c>
      <c r="G34" s="41">
        <v>1081</v>
      </c>
      <c r="H34" s="152">
        <f t="shared" si="1"/>
        <v>108.1</v>
      </c>
    </row>
    <row r="35" s="106" customFormat="1" ht="19.9" customHeight="1" spans="1:8">
      <c r="A35" s="148" t="s">
        <v>993</v>
      </c>
      <c r="B35" s="149">
        <f>SUM(B36:B46)</f>
        <v>1630</v>
      </c>
      <c r="C35" s="149">
        <f>SUM(C36:C46)</f>
        <v>786</v>
      </c>
      <c r="D35" s="150">
        <f>C35/B35</f>
        <v>0.4822</v>
      </c>
      <c r="E35" s="129" t="s">
        <v>1289</v>
      </c>
      <c r="F35" s="41"/>
      <c r="G35" s="41"/>
      <c r="H35" s="152"/>
    </row>
    <row r="36" s="106" customFormat="1" ht="20.1" customHeight="1" spans="1:8">
      <c r="A36" s="151" t="s">
        <v>4928</v>
      </c>
      <c r="B36" s="41"/>
      <c r="C36" s="41"/>
      <c r="D36" s="152"/>
      <c r="E36" s="129" t="s">
        <v>1290</v>
      </c>
      <c r="F36" s="41">
        <v>7</v>
      </c>
      <c r="G36" s="41">
        <v>227</v>
      </c>
      <c r="H36" s="152">
        <f t="shared" ref="H36:H40" si="2">G36/F36</f>
        <v>32.4286</v>
      </c>
    </row>
    <row r="37" s="107" customFormat="1" ht="20.1" customHeight="1" spans="1:8">
      <c r="A37" s="151" t="s">
        <v>4929</v>
      </c>
      <c r="B37" s="41"/>
      <c r="C37" s="41"/>
      <c r="D37" s="152"/>
      <c r="E37" s="129" t="s">
        <v>1291</v>
      </c>
      <c r="F37" s="41"/>
      <c r="G37" s="41"/>
      <c r="H37" s="152"/>
    </row>
    <row r="38" s="106" customFormat="1" ht="20.1" customHeight="1" spans="1:8">
      <c r="A38" s="151" t="s">
        <v>4930</v>
      </c>
      <c r="B38" s="41"/>
      <c r="C38" s="41"/>
      <c r="D38" s="152"/>
      <c r="E38" s="131" t="s">
        <v>1292</v>
      </c>
      <c r="F38" s="41"/>
      <c r="G38" s="41"/>
      <c r="H38" s="152"/>
    </row>
    <row r="39" s="106" customFormat="1" ht="20.1" customHeight="1" spans="1:8">
      <c r="A39" s="151" t="s">
        <v>4931</v>
      </c>
      <c r="B39" s="41"/>
      <c r="C39" s="41"/>
      <c r="D39" s="152"/>
      <c r="E39" s="131" t="s">
        <v>1293</v>
      </c>
      <c r="F39" s="41">
        <v>802</v>
      </c>
      <c r="G39" s="41">
        <v>6188</v>
      </c>
      <c r="H39" s="152">
        <f t="shared" si="2"/>
        <v>7.7157</v>
      </c>
    </row>
    <row r="40" s="106" customFormat="1" ht="20.1" customHeight="1" spans="1:8">
      <c r="A40" s="151" t="s">
        <v>4932</v>
      </c>
      <c r="B40" s="41"/>
      <c r="C40" s="41"/>
      <c r="D40" s="152"/>
      <c r="E40" s="131" t="s">
        <v>1294</v>
      </c>
      <c r="F40" s="41">
        <v>1</v>
      </c>
      <c r="G40" s="41">
        <v>294</v>
      </c>
      <c r="H40" s="152">
        <f t="shared" si="2"/>
        <v>294</v>
      </c>
    </row>
    <row r="41" s="106" customFormat="1" ht="20.1" customHeight="1" spans="1:8">
      <c r="A41" s="151" t="s">
        <v>4933</v>
      </c>
      <c r="B41" s="41"/>
      <c r="C41" s="41"/>
      <c r="D41" s="152"/>
      <c r="E41" s="131" t="s">
        <v>1295</v>
      </c>
      <c r="F41" s="41"/>
      <c r="G41" s="41"/>
      <c r="H41" s="152"/>
    </row>
    <row r="42" s="106" customFormat="1" ht="20.1" customHeight="1" spans="1:8">
      <c r="A42" s="151" t="s">
        <v>4934</v>
      </c>
      <c r="B42" s="41"/>
      <c r="C42" s="41"/>
      <c r="D42" s="152"/>
      <c r="E42" s="131" t="s">
        <v>1267</v>
      </c>
      <c r="F42" s="41"/>
      <c r="G42" s="41"/>
      <c r="H42" s="152"/>
    </row>
    <row r="43" s="106" customFormat="1" ht="20.1" customHeight="1" spans="1:8">
      <c r="A43" s="151" t="s">
        <v>4935</v>
      </c>
      <c r="B43" s="41"/>
      <c r="C43" s="41"/>
      <c r="D43" s="152"/>
      <c r="E43" s="127" t="s">
        <v>1296</v>
      </c>
      <c r="F43" s="149">
        <f>SUM(F44:F52)</f>
        <v>0</v>
      </c>
      <c r="G43" s="149">
        <f>SUM(G44:G52)</f>
        <v>0</v>
      </c>
      <c r="H43" s="150"/>
    </row>
    <row r="44" s="106" customFormat="1" ht="20.1" customHeight="1" spans="1:8">
      <c r="A44" s="151" t="s">
        <v>4936</v>
      </c>
      <c r="B44" s="41"/>
      <c r="C44" s="41"/>
      <c r="D44" s="152"/>
      <c r="E44" s="129" t="s">
        <v>1297</v>
      </c>
      <c r="F44" s="41"/>
      <c r="G44" s="41"/>
      <c r="H44" s="152"/>
    </row>
    <row r="45" s="106" customFormat="1" ht="20.1" customHeight="1" spans="1:8">
      <c r="A45" s="151" t="s">
        <v>4937</v>
      </c>
      <c r="B45" s="41"/>
      <c r="C45" s="41"/>
      <c r="D45" s="152"/>
      <c r="E45" s="129" t="s">
        <v>1298</v>
      </c>
      <c r="F45" s="41"/>
      <c r="G45" s="41"/>
      <c r="H45" s="152"/>
    </row>
    <row r="46" s="106" customFormat="1" ht="20.1" customHeight="1" spans="1:8">
      <c r="A46" s="151" t="s">
        <v>4938</v>
      </c>
      <c r="B46" s="41">
        <v>1630</v>
      </c>
      <c r="C46" s="41">
        <v>786</v>
      </c>
      <c r="D46" s="152">
        <f>C46/B46</f>
        <v>0.4822</v>
      </c>
      <c r="E46" s="129" t="s">
        <v>1299</v>
      </c>
      <c r="F46" s="41"/>
      <c r="G46" s="41"/>
      <c r="H46" s="152"/>
    </row>
    <row r="47" s="106" customFormat="1" ht="20.1" customHeight="1" spans="1:8">
      <c r="A47" s="153"/>
      <c r="B47" s="41"/>
      <c r="C47" s="41"/>
      <c r="D47" s="152"/>
      <c r="E47" s="129" t="s">
        <v>1300</v>
      </c>
      <c r="F47" s="41"/>
      <c r="G47" s="41"/>
      <c r="H47" s="152"/>
    </row>
    <row r="48" s="106" customFormat="1" ht="20.1" customHeight="1" spans="1:8">
      <c r="A48" s="153"/>
      <c r="B48" s="41"/>
      <c r="C48" s="41"/>
      <c r="D48" s="152"/>
      <c r="E48" s="129" t="s">
        <v>1301</v>
      </c>
      <c r="F48" s="41"/>
      <c r="G48" s="41"/>
      <c r="H48" s="152"/>
    </row>
    <row r="49" s="106" customFormat="1" ht="20.1" customHeight="1" spans="1:8">
      <c r="A49" s="153"/>
      <c r="B49" s="41"/>
      <c r="C49" s="41"/>
      <c r="D49" s="152"/>
      <c r="E49" s="129" t="s">
        <v>1302</v>
      </c>
      <c r="F49" s="41"/>
      <c r="G49" s="41"/>
      <c r="H49" s="152"/>
    </row>
    <row r="50" s="106" customFormat="1" ht="20.1" customHeight="1" spans="1:8">
      <c r="A50" s="153"/>
      <c r="B50" s="41"/>
      <c r="C50" s="41"/>
      <c r="D50" s="152"/>
      <c r="E50" s="129" t="s">
        <v>1303</v>
      </c>
      <c r="F50" s="41"/>
      <c r="G50" s="41"/>
      <c r="H50" s="152"/>
    </row>
    <row r="51" s="106" customFormat="1" ht="20.1" customHeight="1" spans="1:8">
      <c r="A51" s="153"/>
      <c r="B51" s="41"/>
      <c r="C51" s="41"/>
      <c r="D51" s="152"/>
      <c r="E51" s="129" t="s">
        <v>1304</v>
      </c>
      <c r="F51" s="41"/>
      <c r="G51" s="41"/>
      <c r="H51" s="152"/>
    </row>
    <row r="52" s="106" customFormat="1" ht="20.1" customHeight="1" spans="1:8">
      <c r="A52" s="153"/>
      <c r="B52" s="41"/>
      <c r="C52" s="41"/>
      <c r="D52" s="152"/>
      <c r="E52" s="129" t="s">
        <v>1267</v>
      </c>
      <c r="F52" s="41"/>
      <c r="G52" s="41"/>
      <c r="H52" s="152"/>
    </row>
    <row r="53" s="106" customFormat="1" ht="20.1" customHeight="1" spans="1:8">
      <c r="A53" s="153"/>
      <c r="B53" s="41"/>
      <c r="C53" s="41"/>
      <c r="D53" s="152"/>
      <c r="E53" s="127" t="s">
        <v>1305</v>
      </c>
      <c r="F53" s="149">
        <f>SUM(F54:F55)</f>
        <v>308</v>
      </c>
      <c r="G53" s="149">
        <f>SUM(G54:G55)</f>
        <v>97</v>
      </c>
      <c r="H53" s="150">
        <f>G53/F53</f>
        <v>0.3149</v>
      </c>
    </row>
    <row r="54" s="106" customFormat="1" ht="20.1" customHeight="1" spans="1:8">
      <c r="A54" s="153"/>
      <c r="B54" s="41"/>
      <c r="C54" s="41"/>
      <c r="D54" s="152"/>
      <c r="E54" s="129" t="s">
        <v>1306</v>
      </c>
      <c r="F54" s="41"/>
      <c r="G54" s="41"/>
      <c r="H54" s="152"/>
    </row>
    <row r="55" s="106" customFormat="1" ht="20.1" customHeight="1" spans="1:8">
      <c r="A55" s="153"/>
      <c r="B55" s="41"/>
      <c r="C55" s="41"/>
      <c r="D55" s="152"/>
      <c r="E55" s="129" t="s">
        <v>1267</v>
      </c>
      <c r="F55" s="41">
        <v>308</v>
      </c>
      <c r="G55" s="41">
        <v>97</v>
      </c>
      <c r="H55" s="152">
        <f>G55/F55</f>
        <v>0.3149</v>
      </c>
    </row>
    <row r="56" s="106" customFormat="1" ht="20.1" customHeight="1" spans="1:8">
      <c r="A56" s="153"/>
      <c r="B56" s="41"/>
      <c r="C56" s="41"/>
      <c r="D56" s="152"/>
      <c r="E56" s="127" t="s">
        <v>1307</v>
      </c>
      <c r="F56" s="149">
        <f t="shared" ref="F56:F60" si="3">SUM(F57)</f>
        <v>0</v>
      </c>
      <c r="G56" s="149">
        <f t="shared" ref="G56:G60" si="4">SUM(G57)</f>
        <v>0</v>
      </c>
      <c r="H56" s="150"/>
    </row>
    <row r="57" s="106" customFormat="1" ht="20.1" customHeight="1" spans="1:8">
      <c r="A57" s="153"/>
      <c r="B57" s="41"/>
      <c r="C57" s="41"/>
      <c r="D57" s="152"/>
      <c r="E57" s="129" t="s">
        <v>1308</v>
      </c>
      <c r="F57" s="41"/>
      <c r="G57" s="41"/>
      <c r="H57" s="152"/>
    </row>
    <row r="58" s="106" customFormat="1" ht="20.1" customHeight="1" spans="1:8">
      <c r="A58" s="153"/>
      <c r="B58" s="41"/>
      <c r="C58" s="41"/>
      <c r="D58" s="152"/>
      <c r="E58" s="127" t="s">
        <v>1309</v>
      </c>
      <c r="F58" s="149">
        <f t="shared" si="3"/>
        <v>0</v>
      </c>
      <c r="G58" s="149">
        <f t="shared" si="4"/>
        <v>0</v>
      </c>
      <c r="H58" s="150"/>
    </row>
    <row r="59" s="106" customFormat="1" ht="20.1" customHeight="1" spans="1:8">
      <c r="A59" s="153"/>
      <c r="B59" s="41"/>
      <c r="C59" s="41"/>
      <c r="D59" s="152"/>
      <c r="E59" s="129" t="s">
        <v>1310</v>
      </c>
      <c r="F59" s="41"/>
      <c r="G59" s="41"/>
      <c r="H59" s="152"/>
    </row>
    <row r="60" s="106" customFormat="1" ht="20.1" customHeight="1" spans="1:8">
      <c r="A60" s="153"/>
      <c r="B60" s="41"/>
      <c r="C60" s="41"/>
      <c r="D60" s="152"/>
      <c r="E60" s="127" t="s">
        <v>1311</v>
      </c>
      <c r="F60" s="149">
        <f t="shared" si="3"/>
        <v>0</v>
      </c>
      <c r="G60" s="149">
        <f t="shared" si="4"/>
        <v>0</v>
      </c>
      <c r="H60" s="150"/>
    </row>
    <row r="61" s="106" customFormat="1" ht="20.1" customHeight="1" spans="1:8">
      <c r="A61" s="153"/>
      <c r="B61" s="41"/>
      <c r="C61" s="41"/>
      <c r="D61" s="152"/>
      <c r="E61" s="129" t="s">
        <v>1267</v>
      </c>
      <c r="F61" s="41"/>
      <c r="G61" s="41"/>
      <c r="H61" s="152"/>
    </row>
    <row r="62" s="106" customFormat="1" ht="20.1" customHeight="1" spans="1:8">
      <c r="A62" s="153"/>
      <c r="B62" s="41"/>
      <c r="C62" s="41"/>
      <c r="D62" s="152"/>
      <c r="E62" s="127" t="s">
        <v>1312</v>
      </c>
      <c r="F62" s="149">
        <f>SUM(F63)</f>
        <v>0</v>
      </c>
      <c r="G62" s="149">
        <f>SUM(G63)</f>
        <v>0</v>
      </c>
      <c r="H62" s="150"/>
    </row>
    <row r="63" s="106" customFormat="1" ht="20.1" customHeight="1" spans="1:8">
      <c r="A63" s="153"/>
      <c r="B63" s="41"/>
      <c r="C63" s="41"/>
      <c r="D63" s="152"/>
      <c r="E63" s="129" t="s">
        <v>1267</v>
      </c>
      <c r="F63" s="41"/>
      <c r="G63" s="41"/>
      <c r="H63" s="152"/>
    </row>
    <row r="64" s="106" customFormat="1" ht="20.1" customHeight="1" spans="1:8">
      <c r="A64" s="153"/>
      <c r="B64" s="41"/>
      <c r="C64" s="41"/>
      <c r="D64" s="152"/>
      <c r="E64" s="127" t="s">
        <v>1313</v>
      </c>
      <c r="F64" s="149">
        <f>SUM(F65)</f>
        <v>0</v>
      </c>
      <c r="G64" s="149">
        <f>SUM(G65)</f>
        <v>0</v>
      </c>
      <c r="H64" s="150"/>
    </row>
    <row r="65" s="106" customFormat="1" ht="20.1" customHeight="1" spans="1:8">
      <c r="A65" s="153"/>
      <c r="B65" s="41"/>
      <c r="C65" s="41"/>
      <c r="D65" s="152"/>
      <c r="E65" s="129" t="s">
        <v>1267</v>
      </c>
      <c r="F65" s="41"/>
      <c r="G65" s="41"/>
      <c r="H65" s="152"/>
    </row>
    <row r="66" s="106" customFormat="1" ht="20.1" customHeight="1" spans="1:8">
      <c r="A66" s="153"/>
      <c r="B66" s="41"/>
      <c r="C66" s="41"/>
      <c r="D66" s="152"/>
      <c r="E66" s="127" t="s">
        <v>1314</v>
      </c>
      <c r="F66" s="149">
        <f>SUM(F67:F72)</f>
        <v>320</v>
      </c>
      <c r="G66" s="149">
        <f>SUM(G67:G72)</f>
        <v>2244</v>
      </c>
      <c r="H66" s="150">
        <f>G66/F66</f>
        <v>7.0125</v>
      </c>
    </row>
    <row r="67" s="106" customFormat="1" ht="20.1" customHeight="1" spans="1:8">
      <c r="A67" s="153"/>
      <c r="B67" s="41"/>
      <c r="C67" s="41"/>
      <c r="D67" s="152"/>
      <c r="E67" s="129" t="s">
        <v>1315</v>
      </c>
      <c r="F67" s="41"/>
      <c r="G67" s="41">
        <v>748</v>
      </c>
      <c r="H67" s="152"/>
    </row>
    <row r="68" s="106" customFormat="1" ht="20.1" customHeight="1" spans="1:8">
      <c r="A68" s="153"/>
      <c r="B68" s="41"/>
      <c r="C68" s="41"/>
      <c r="D68" s="152"/>
      <c r="E68" s="129" t="s">
        <v>1316</v>
      </c>
      <c r="F68" s="41"/>
      <c r="G68" s="41"/>
      <c r="H68" s="152"/>
    </row>
    <row r="69" s="106" customFormat="1" ht="20.1" customHeight="1" spans="1:8">
      <c r="A69" s="153"/>
      <c r="B69" s="41"/>
      <c r="C69" s="41"/>
      <c r="D69" s="152"/>
      <c r="E69" s="129" t="s">
        <v>1317</v>
      </c>
      <c r="F69" s="41"/>
      <c r="G69" s="41"/>
      <c r="H69" s="152"/>
    </row>
    <row r="70" s="106" customFormat="1" ht="20.1" customHeight="1" spans="1:8">
      <c r="A70" s="153"/>
      <c r="B70" s="41"/>
      <c r="C70" s="41"/>
      <c r="D70" s="152"/>
      <c r="E70" s="129" t="s">
        <v>1318</v>
      </c>
      <c r="F70" s="41"/>
      <c r="G70" s="41"/>
      <c r="H70" s="152"/>
    </row>
    <row r="71" s="106" customFormat="1" ht="20.1" customHeight="1" spans="1:8">
      <c r="A71" s="153"/>
      <c r="B71" s="41"/>
      <c r="C71" s="41"/>
      <c r="D71" s="152"/>
      <c r="E71" s="129" t="s">
        <v>1319</v>
      </c>
      <c r="F71" s="41">
        <v>320</v>
      </c>
      <c r="G71" s="41">
        <v>1496</v>
      </c>
      <c r="H71" s="152">
        <f t="shared" ref="H71:H76" si="5">G71/F71</f>
        <v>4.675</v>
      </c>
    </row>
    <row r="72" s="106" customFormat="1" ht="20.1" customHeight="1" spans="1:8">
      <c r="A72" s="153"/>
      <c r="B72" s="41"/>
      <c r="C72" s="41"/>
      <c r="D72" s="152"/>
      <c r="E72" s="129" t="s">
        <v>1320</v>
      </c>
      <c r="F72" s="41"/>
      <c r="G72" s="41"/>
      <c r="H72" s="152"/>
    </row>
    <row r="73" s="106" customFormat="1" ht="20.1" customHeight="1" spans="1:8">
      <c r="A73" s="153"/>
      <c r="B73" s="41"/>
      <c r="C73" s="41"/>
      <c r="D73" s="152"/>
      <c r="E73" s="163" t="s">
        <v>1325</v>
      </c>
      <c r="F73" s="149">
        <f>SUM(F74)</f>
        <v>2845</v>
      </c>
      <c r="G73" s="149">
        <f>SUM(G74)</f>
        <v>2360</v>
      </c>
      <c r="H73" s="150">
        <f t="shared" si="5"/>
        <v>0.8295</v>
      </c>
    </row>
    <row r="74" s="106" customFormat="1" ht="20.1" customHeight="1" spans="1:8">
      <c r="A74" s="153"/>
      <c r="B74" s="41"/>
      <c r="C74" s="41"/>
      <c r="D74" s="152"/>
      <c r="E74" s="129" t="s">
        <v>1326</v>
      </c>
      <c r="F74" s="41">
        <v>2845</v>
      </c>
      <c r="G74" s="41">
        <v>2360</v>
      </c>
      <c r="H74" s="152">
        <f t="shared" si="5"/>
        <v>0.8295</v>
      </c>
    </row>
    <row r="75" s="106" customFormat="1" ht="20.1" customHeight="1" spans="1:8">
      <c r="A75" s="153"/>
      <c r="B75" s="41"/>
      <c r="C75" s="41"/>
      <c r="D75" s="152"/>
      <c r="E75" s="163" t="s">
        <v>1327</v>
      </c>
      <c r="F75" s="149">
        <f>SUM(F76)</f>
        <v>23</v>
      </c>
      <c r="G75" s="149">
        <f>SUM(G76)</f>
        <v>0</v>
      </c>
      <c r="H75" s="150">
        <f t="shared" si="5"/>
        <v>0</v>
      </c>
    </row>
    <row r="76" s="106" customFormat="1" ht="20.1" customHeight="1" spans="1:8">
      <c r="A76" s="153"/>
      <c r="B76" s="41"/>
      <c r="C76" s="41"/>
      <c r="D76" s="152"/>
      <c r="E76" s="129" t="s">
        <v>1328</v>
      </c>
      <c r="F76" s="41">
        <v>23</v>
      </c>
      <c r="G76" s="41"/>
      <c r="H76" s="152">
        <f t="shared" si="5"/>
        <v>0</v>
      </c>
    </row>
    <row r="77" s="106" customFormat="1" ht="20.1" customHeight="1" spans="1:8">
      <c r="A77" s="153"/>
      <c r="B77" s="41"/>
      <c r="C77" s="41"/>
      <c r="D77" s="152"/>
      <c r="E77" s="163" t="s">
        <v>1329</v>
      </c>
      <c r="F77" s="149">
        <f>SUM(F78:F79)</f>
        <v>0</v>
      </c>
      <c r="G77" s="149">
        <f>SUM(G78:G79)</f>
        <v>0</v>
      </c>
      <c r="H77" s="150"/>
    </row>
    <row r="78" s="106" customFormat="1" ht="20.1" customHeight="1" spans="1:8">
      <c r="A78" s="153"/>
      <c r="B78" s="41"/>
      <c r="C78" s="41"/>
      <c r="D78" s="152"/>
      <c r="E78" s="129" t="s">
        <v>1330</v>
      </c>
      <c r="F78" s="41"/>
      <c r="G78" s="41"/>
      <c r="H78" s="152"/>
    </row>
    <row r="79" s="106" customFormat="1" ht="20.1" customHeight="1" spans="1:8">
      <c r="A79" s="153"/>
      <c r="B79" s="41"/>
      <c r="C79" s="41"/>
      <c r="D79" s="152"/>
      <c r="E79" s="129" t="s">
        <v>1331</v>
      </c>
      <c r="F79" s="41"/>
      <c r="G79" s="41"/>
      <c r="H79" s="152"/>
    </row>
    <row r="80" s="106" customFormat="1" ht="20.1" customHeight="1" spans="1:8">
      <c r="A80" s="153"/>
      <c r="B80" s="41"/>
      <c r="C80" s="41"/>
      <c r="D80" s="152"/>
      <c r="E80" s="137"/>
      <c r="F80" s="41"/>
      <c r="G80" s="41"/>
      <c r="H80" s="152"/>
    </row>
    <row r="81" s="106" customFormat="1" ht="20.1" customHeight="1" spans="1:8">
      <c r="A81" s="153"/>
      <c r="B81" s="41"/>
      <c r="C81" s="41"/>
      <c r="D81" s="152"/>
      <c r="E81" s="137"/>
      <c r="F81" s="41"/>
      <c r="G81" s="41"/>
      <c r="H81" s="152"/>
    </row>
    <row r="82" s="107" customFormat="1" ht="20.1" customHeight="1" spans="1:8">
      <c r="A82" s="138" t="s">
        <v>4939</v>
      </c>
      <c r="B82" s="139">
        <f>B35+B5</f>
        <v>12924</v>
      </c>
      <c r="C82" s="139">
        <f>C35+C5</f>
        <v>11566</v>
      </c>
      <c r="D82" s="159">
        <f>C82/B82</f>
        <v>0.8949</v>
      </c>
      <c r="E82" s="138" t="s">
        <v>3546</v>
      </c>
      <c r="F82" s="139">
        <f>F5+F7+F10+F15+F17+F21+F33+F43+F53+F56+F58+F60+F62+F64+F66+F73+F75+F77</f>
        <v>34730</v>
      </c>
      <c r="G82" s="139">
        <f>G5+G7+G10+G15+G17+G21+G33+G43+G53+G56+G58+G60+G62+G64+G66+G73+G75+G77</f>
        <v>32074</v>
      </c>
      <c r="H82" s="159">
        <f>G82/F82</f>
        <v>0.9235</v>
      </c>
    </row>
    <row r="83" s="106" customFormat="1" ht="20.1" customHeight="1" spans="1:8">
      <c r="A83" s="160" t="s">
        <v>1236</v>
      </c>
      <c r="B83" s="149">
        <f>SUM(B84:B86)</f>
        <v>0</v>
      </c>
      <c r="C83" s="149">
        <f>SUM(C84:C86)</f>
        <v>0</v>
      </c>
      <c r="D83" s="150"/>
      <c r="E83" s="163" t="s">
        <v>1237</v>
      </c>
      <c r="F83" s="149">
        <f>SUM(F84:F89)</f>
        <v>19865</v>
      </c>
      <c r="G83" s="149">
        <f>SUM(G84:G89)</f>
        <v>0</v>
      </c>
      <c r="H83" s="150">
        <f>G83/F83</f>
        <v>0</v>
      </c>
    </row>
    <row r="84" s="106" customFormat="1" ht="20.1" customHeight="1" spans="1:8">
      <c r="A84" s="131" t="s">
        <v>4940</v>
      </c>
      <c r="B84" s="41"/>
      <c r="C84" s="41"/>
      <c r="D84" s="152"/>
      <c r="E84" s="131" t="s">
        <v>4945</v>
      </c>
      <c r="F84" s="41"/>
      <c r="G84" s="41"/>
      <c r="H84" s="152"/>
    </row>
    <row r="85" s="106" customFormat="1" ht="20.1" customHeight="1" spans="1:8">
      <c r="A85" s="131" t="s">
        <v>4941</v>
      </c>
      <c r="B85" s="41"/>
      <c r="C85" s="41"/>
      <c r="D85" s="152"/>
      <c r="E85" s="131" t="s">
        <v>1241</v>
      </c>
      <c r="F85" s="41"/>
      <c r="G85" s="41"/>
      <c r="H85" s="152"/>
    </row>
    <row r="86" s="106" customFormat="1" ht="20.1" customHeight="1" spans="1:8">
      <c r="A86" s="131" t="s">
        <v>4941</v>
      </c>
      <c r="B86" s="41"/>
      <c r="C86" s="41"/>
      <c r="D86" s="152"/>
      <c r="E86" s="131" t="s">
        <v>1243</v>
      </c>
      <c r="F86" s="41"/>
      <c r="G86" s="41"/>
      <c r="H86" s="152"/>
    </row>
    <row r="87" s="106" customFormat="1" ht="20.1" customHeight="1" spans="1:8">
      <c r="A87" s="160" t="s">
        <v>1246</v>
      </c>
      <c r="B87" s="149">
        <f>SUM(B88:B94)</f>
        <v>47453</v>
      </c>
      <c r="C87" s="149">
        <f>SUM(C88:C94)</f>
        <v>20508</v>
      </c>
      <c r="D87" s="150">
        <f t="shared" ref="D87:D90" si="6">C87/B87</f>
        <v>0.4322</v>
      </c>
      <c r="E87" s="131" t="s">
        <v>1245</v>
      </c>
      <c r="F87" s="41">
        <v>19865</v>
      </c>
      <c r="G87" s="41"/>
      <c r="H87" s="152"/>
    </row>
    <row r="88" s="106" customFormat="1" ht="20.1" customHeight="1" spans="1:8">
      <c r="A88" s="161" t="s">
        <v>1248</v>
      </c>
      <c r="B88" s="41">
        <v>1363</v>
      </c>
      <c r="C88" s="41">
        <v>643</v>
      </c>
      <c r="D88" s="152">
        <f t="shared" si="6"/>
        <v>0.4718</v>
      </c>
      <c r="E88" s="131" t="s">
        <v>1247</v>
      </c>
      <c r="F88" s="41"/>
      <c r="G88" s="41"/>
      <c r="H88" s="152"/>
    </row>
    <row r="89" s="106" customFormat="1" ht="20.1" customHeight="1" spans="1:8">
      <c r="A89" s="161" t="s">
        <v>1251</v>
      </c>
      <c r="B89" s="41"/>
      <c r="C89" s="41"/>
      <c r="D89" s="152"/>
      <c r="E89" s="131" t="s">
        <v>1249</v>
      </c>
      <c r="F89" s="41"/>
      <c r="G89" s="41"/>
      <c r="H89" s="152"/>
    </row>
    <row r="90" s="106" customFormat="1" ht="20.1" customHeight="1" spans="1:8">
      <c r="A90" s="161" t="s">
        <v>1252</v>
      </c>
      <c r="B90" s="41">
        <v>19153</v>
      </c>
      <c r="C90" s="41">
        <v>19865</v>
      </c>
      <c r="D90" s="152">
        <f t="shared" si="6"/>
        <v>1.0372</v>
      </c>
      <c r="E90" s="163" t="s">
        <v>4946</v>
      </c>
      <c r="F90" s="149">
        <f>SUM(F91:F93)</f>
        <v>5782</v>
      </c>
      <c r="G90" s="149">
        <f>SUM(G91:G93)</f>
        <v>0</v>
      </c>
      <c r="H90" s="150">
        <f>G90/F90</f>
        <v>0</v>
      </c>
    </row>
    <row r="91" s="106" customFormat="1" ht="20.1" customHeight="1" spans="1:8">
      <c r="A91" s="161" t="s">
        <v>1253</v>
      </c>
      <c r="B91" s="41"/>
      <c r="C91" s="41"/>
      <c r="D91" s="152"/>
      <c r="E91" s="129" t="s">
        <v>1322</v>
      </c>
      <c r="F91" s="41">
        <v>5782</v>
      </c>
      <c r="G91" s="41"/>
      <c r="H91" s="152">
        <f>G91/F91</f>
        <v>0</v>
      </c>
    </row>
    <row r="92" s="106" customFormat="1" ht="20.1" customHeight="1" spans="1:8">
      <c r="A92" s="162" t="s">
        <v>1254</v>
      </c>
      <c r="B92" s="41">
        <v>26937</v>
      </c>
      <c r="C92" s="41"/>
      <c r="D92" s="152"/>
      <c r="E92" s="129" t="s">
        <v>1323</v>
      </c>
      <c r="F92" s="41"/>
      <c r="G92" s="41"/>
      <c r="H92" s="152"/>
    </row>
    <row r="93" s="106" customFormat="1" ht="20.1" customHeight="1" spans="1:8">
      <c r="A93" s="162" t="s">
        <v>1255</v>
      </c>
      <c r="B93" s="41"/>
      <c r="C93" s="41"/>
      <c r="D93" s="152"/>
      <c r="E93" s="129" t="s">
        <v>1324</v>
      </c>
      <c r="F93" s="41"/>
      <c r="G93" s="41"/>
      <c r="H93" s="152"/>
    </row>
    <row r="94" s="106" customFormat="1" ht="20.1" customHeight="1" spans="1:8">
      <c r="A94" s="162" t="s">
        <v>1255</v>
      </c>
      <c r="B94" s="41"/>
      <c r="C94" s="41"/>
      <c r="D94" s="152"/>
      <c r="E94" s="41"/>
      <c r="F94" s="41"/>
      <c r="G94" s="41"/>
      <c r="H94" s="152"/>
    </row>
    <row r="95" s="106" customFormat="1" ht="20.1" customHeight="1" spans="1:8">
      <c r="A95" s="41"/>
      <c r="B95" s="41"/>
      <c r="C95" s="41"/>
      <c r="D95" s="152"/>
      <c r="E95" s="41"/>
      <c r="F95" s="41"/>
      <c r="G95" s="41"/>
      <c r="H95" s="152"/>
    </row>
    <row r="96" s="106" customFormat="1" ht="20.1" customHeight="1" spans="1:8">
      <c r="A96" s="42" t="s">
        <v>4942</v>
      </c>
      <c r="B96" s="41">
        <f>B82+B83+B87</f>
        <v>60377</v>
      </c>
      <c r="C96" s="41">
        <f>C82+C83+C87</f>
        <v>32074</v>
      </c>
      <c r="D96" s="152">
        <f>C96/B96</f>
        <v>0.5312</v>
      </c>
      <c r="E96" s="42" t="s">
        <v>1333</v>
      </c>
      <c r="F96" s="41">
        <f>F82+F83+F90</f>
        <v>60377</v>
      </c>
      <c r="G96" s="41">
        <f>G82+G83+G90</f>
        <v>32074</v>
      </c>
      <c r="H96" s="152">
        <f>G96/F96</f>
        <v>0.5312</v>
      </c>
    </row>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sheetData>
  <mergeCells count="3">
    <mergeCell ref="A1:H1"/>
    <mergeCell ref="A3:D3"/>
    <mergeCell ref="E3:H3"/>
  </mergeCells>
  <printOptions horizontalCentered="1"/>
  <pageMargins left="0.511811023622047" right="0.511811023622047" top="0.551181102362205" bottom="0.551181102362205" header="0.31496062992126" footer="0.31496062992126"/>
  <pageSetup paperSize="9" scale="86" fitToHeight="14" orientation="landscape" blackAndWhite="1"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6"/>
  <sheetViews>
    <sheetView workbookViewId="0">
      <selection activeCell="I5" sqref="I5"/>
    </sheetView>
  </sheetViews>
  <sheetFormatPr defaultColWidth="9" defaultRowHeight="15.75" outlineLevelCol="3"/>
  <cols>
    <col min="1" max="1" width="51.875" style="140" customWidth="1"/>
    <col min="2" max="2" width="10.375" style="140" customWidth="1"/>
    <col min="3" max="3" width="9.375" style="140" customWidth="1"/>
    <col min="4" max="4" width="12" style="140" customWidth="1"/>
    <col min="5" max="16384" width="9" style="140"/>
  </cols>
  <sheetData>
    <row r="1" s="140" customFormat="1" ht="18" customHeight="1" spans="1:4">
      <c r="A1" s="120" t="s">
        <v>4948</v>
      </c>
      <c r="B1" s="120"/>
      <c r="C1" s="120"/>
      <c r="D1" s="120"/>
    </row>
    <row r="2" s="140" customFormat="1" ht="18" customHeight="1" spans="4:4">
      <c r="D2" s="164" t="s">
        <v>4533</v>
      </c>
    </row>
    <row r="3" s="140" customFormat="1" ht="24.75" customHeight="1" spans="1:4">
      <c r="A3" s="144" t="s">
        <v>4944</v>
      </c>
      <c r="B3" s="145"/>
      <c r="C3" s="145"/>
      <c r="D3" s="146"/>
    </row>
    <row r="4" s="106" customFormat="1" ht="35.25" customHeight="1" spans="1:4">
      <c r="A4" s="165" t="s">
        <v>4651</v>
      </c>
      <c r="B4" s="9" t="s">
        <v>4949</v>
      </c>
      <c r="C4" s="9" t="s">
        <v>4950</v>
      </c>
      <c r="D4" s="166" t="s">
        <v>4951</v>
      </c>
    </row>
    <row r="5" s="141" customFormat="1" ht="20.1" customHeight="1" spans="1:4">
      <c r="A5" s="167" t="s">
        <v>4952</v>
      </c>
      <c r="B5" s="158">
        <f>SUM(B6)</f>
        <v>0</v>
      </c>
      <c r="C5" s="158">
        <f>SUM(C6)</f>
        <v>0</v>
      </c>
      <c r="D5" s="150"/>
    </row>
    <row r="6" s="141" customFormat="1" ht="20.1" customHeight="1" spans="1:4">
      <c r="A6" s="129" t="s">
        <v>1267</v>
      </c>
      <c r="B6" s="41"/>
      <c r="C6" s="41"/>
      <c r="D6" s="152"/>
    </row>
    <row r="7" s="141" customFormat="1" ht="20.1" customHeight="1" spans="1:4">
      <c r="A7" s="167" t="s">
        <v>4953</v>
      </c>
      <c r="B7" s="149">
        <f>B8+B9</f>
        <v>0</v>
      </c>
      <c r="C7" s="149">
        <f>C8+C9</f>
        <v>0</v>
      </c>
      <c r="D7" s="150"/>
    </row>
    <row r="8" s="141" customFormat="1" ht="20.1" customHeight="1" spans="1:4">
      <c r="A8" s="130" t="s">
        <v>1268</v>
      </c>
      <c r="B8" s="41"/>
      <c r="C8" s="41"/>
      <c r="D8" s="152"/>
    </row>
    <row r="9" s="141" customFormat="1" ht="20.1" customHeight="1" spans="1:4">
      <c r="A9" s="129" t="s">
        <v>1267</v>
      </c>
      <c r="B9" s="41"/>
      <c r="C9" s="41"/>
      <c r="D9" s="152"/>
    </row>
    <row r="10" s="141" customFormat="1" ht="20.1" customHeight="1" spans="1:4">
      <c r="A10" s="167" t="s">
        <v>4954</v>
      </c>
      <c r="B10" s="149">
        <f>SUM(B11:B14)</f>
        <v>9</v>
      </c>
      <c r="C10" s="149">
        <f>SUM(C11:C14)</f>
        <v>50</v>
      </c>
      <c r="D10" s="150">
        <f>C10/B10</f>
        <v>5.5556</v>
      </c>
    </row>
    <row r="11" s="141" customFormat="1" ht="20.1" customHeight="1" spans="1:4">
      <c r="A11" s="130" t="s">
        <v>1269</v>
      </c>
      <c r="B11" s="41">
        <v>9</v>
      </c>
      <c r="C11" s="41"/>
      <c r="D11" s="152">
        <f>C11/B11</f>
        <v>0</v>
      </c>
    </row>
    <row r="12" s="141" customFormat="1" ht="20.1" customHeight="1" spans="1:4">
      <c r="A12" s="130" t="s">
        <v>1270</v>
      </c>
      <c r="B12" s="41"/>
      <c r="C12" s="41">
        <v>50</v>
      </c>
      <c r="D12" s="152"/>
    </row>
    <row r="13" s="141" customFormat="1" ht="20.1" customHeight="1" spans="1:4">
      <c r="A13" s="130" t="s">
        <v>1271</v>
      </c>
      <c r="B13" s="41"/>
      <c r="C13" s="41"/>
      <c r="D13" s="152"/>
    </row>
    <row r="14" s="141" customFormat="1" ht="20.1" customHeight="1" spans="1:4">
      <c r="A14" s="129" t="s">
        <v>1267</v>
      </c>
      <c r="B14" s="41"/>
      <c r="C14" s="41"/>
      <c r="D14" s="152"/>
    </row>
    <row r="15" s="141" customFormat="1" ht="20.1" customHeight="1" spans="1:4">
      <c r="A15" s="167" t="s">
        <v>4955</v>
      </c>
      <c r="B15" s="149">
        <f>SUM(B16)</f>
        <v>0</v>
      </c>
      <c r="C15" s="149">
        <f>SUM(C16)</f>
        <v>0</v>
      </c>
      <c r="D15" s="150"/>
    </row>
    <row r="16" s="141" customFormat="1" ht="20.1" customHeight="1" spans="1:4">
      <c r="A16" s="129" t="s">
        <v>1267</v>
      </c>
      <c r="B16" s="41"/>
      <c r="C16" s="41"/>
      <c r="D16" s="152"/>
    </row>
    <row r="17" s="141" customFormat="1" ht="20.1" customHeight="1" spans="1:4">
      <c r="A17" s="167" t="s">
        <v>4956</v>
      </c>
      <c r="B17" s="149">
        <f>SUM(B18:B20)</f>
        <v>0</v>
      </c>
      <c r="C17" s="149">
        <f>SUM(C18:C20)</f>
        <v>0</v>
      </c>
      <c r="D17" s="150"/>
    </row>
    <row r="18" s="141" customFormat="1" ht="20.1" customHeight="1" spans="1:4">
      <c r="A18" s="129" t="s">
        <v>1274</v>
      </c>
      <c r="B18" s="41"/>
      <c r="C18" s="41"/>
      <c r="D18" s="152"/>
    </row>
    <row r="19" s="141" customFormat="1" ht="20.1" customHeight="1" spans="1:4">
      <c r="A19" s="129" t="s">
        <v>1275</v>
      </c>
      <c r="B19" s="41"/>
      <c r="C19" s="41"/>
      <c r="D19" s="152"/>
    </row>
    <row r="20" s="141" customFormat="1" ht="20.1" customHeight="1" spans="1:4">
      <c r="A20" s="129" t="s">
        <v>1267</v>
      </c>
      <c r="B20" s="41"/>
      <c r="C20" s="41"/>
      <c r="D20" s="152"/>
    </row>
    <row r="21" s="141" customFormat="1" ht="20.1" customHeight="1" spans="1:4">
      <c r="A21" s="167" t="s">
        <v>4957</v>
      </c>
      <c r="B21" s="149">
        <f>SUM(B22:B32)</f>
        <v>30405</v>
      </c>
      <c r="C21" s="149">
        <f>SUM(C22:C32)</f>
        <v>19533</v>
      </c>
      <c r="D21" s="150">
        <f t="shared" ref="D21:D26" si="0">C21/B21</f>
        <v>0.6424</v>
      </c>
    </row>
    <row r="22" s="141" customFormat="1" ht="20.1" customHeight="1" spans="1:4">
      <c r="A22" s="129" t="s">
        <v>1277</v>
      </c>
      <c r="B22" s="41">
        <v>7519</v>
      </c>
      <c r="C22" s="41">
        <f>17426+500</f>
        <v>17926</v>
      </c>
      <c r="D22" s="152">
        <f t="shared" si="0"/>
        <v>2.3841</v>
      </c>
    </row>
    <row r="23" s="106" customFormat="1" ht="20.1" customHeight="1" spans="1:4">
      <c r="A23" s="129" t="s">
        <v>1278</v>
      </c>
      <c r="B23" s="41"/>
      <c r="C23" s="41"/>
      <c r="D23" s="152"/>
    </row>
    <row r="24" s="106" customFormat="1" ht="20.1" customHeight="1" spans="1:4">
      <c r="A24" s="129" t="s">
        <v>1279</v>
      </c>
      <c r="B24" s="41"/>
      <c r="C24" s="41">
        <v>262</v>
      </c>
      <c r="D24" s="152"/>
    </row>
    <row r="25" s="106" customFormat="1" ht="20.1" customHeight="1" spans="1:4">
      <c r="A25" s="129" t="s">
        <v>1280</v>
      </c>
      <c r="B25" s="41">
        <v>150</v>
      </c>
      <c r="C25" s="41">
        <v>183</v>
      </c>
      <c r="D25" s="152">
        <f t="shared" si="0"/>
        <v>1.22</v>
      </c>
    </row>
    <row r="26" s="106" customFormat="1" ht="20.1" customHeight="1" spans="1:4">
      <c r="A26" s="129" t="s">
        <v>1281</v>
      </c>
      <c r="B26" s="41">
        <v>581</v>
      </c>
      <c r="C26" s="41">
        <v>1162</v>
      </c>
      <c r="D26" s="152">
        <f t="shared" si="0"/>
        <v>2</v>
      </c>
    </row>
    <row r="27" s="106" customFormat="1" ht="20.1" customHeight="1" spans="1:4">
      <c r="A27" s="129" t="s">
        <v>1282</v>
      </c>
      <c r="B27" s="41"/>
      <c r="C27" s="41"/>
      <c r="D27" s="152"/>
    </row>
    <row r="28" s="106" customFormat="1" ht="20.1" customHeight="1" spans="1:4">
      <c r="A28" s="129" t="s">
        <v>1283</v>
      </c>
      <c r="B28" s="41"/>
      <c r="C28" s="41"/>
      <c r="D28" s="152"/>
    </row>
    <row r="29" s="106" customFormat="1" ht="20.1" customHeight="1" spans="1:4">
      <c r="A29" s="129" t="s">
        <v>1284</v>
      </c>
      <c r="B29" s="41"/>
      <c r="C29" s="41"/>
      <c r="D29" s="152"/>
    </row>
    <row r="30" s="106" customFormat="1" ht="20.1" customHeight="1" spans="1:4">
      <c r="A30" s="129" t="s">
        <v>1285</v>
      </c>
      <c r="B30" s="41"/>
      <c r="C30" s="41"/>
      <c r="D30" s="152"/>
    </row>
    <row r="31" s="106" customFormat="1" ht="20.1" customHeight="1" spans="1:4">
      <c r="A31" s="129" t="s">
        <v>1286</v>
      </c>
      <c r="B31" s="41">
        <v>22155</v>
      </c>
      <c r="C31" s="41"/>
      <c r="D31" s="152">
        <f t="shared" ref="D31:D34" si="1">C31/B31</f>
        <v>0</v>
      </c>
    </row>
    <row r="32" s="106" customFormat="1" ht="20.1" customHeight="1" spans="1:4">
      <c r="A32" s="129" t="s">
        <v>1267</v>
      </c>
      <c r="B32" s="41"/>
      <c r="C32" s="41"/>
      <c r="D32" s="152"/>
    </row>
    <row r="33" s="106" customFormat="1" ht="20.1" customHeight="1" spans="1:4">
      <c r="A33" s="167" t="s">
        <v>4958</v>
      </c>
      <c r="B33" s="149">
        <f>SUM(B34:B42)</f>
        <v>820</v>
      </c>
      <c r="C33" s="149">
        <f>SUM(C34:C42)</f>
        <v>7790</v>
      </c>
      <c r="D33" s="150">
        <f t="shared" si="1"/>
        <v>9.5</v>
      </c>
    </row>
    <row r="34" s="106" customFormat="1" ht="20.1" customHeight="1" spans="1:4">
      <c r="A34" s="129" t="s">
        <v>1288</v>
      </c>
      <c r="B34" s="41">
        <v>10</v>
      </c>
      <c r="C34" s="41">
        <v>1081</v>
      </c>
      <c r="D34" s="152">
        <f t="shared" si="1"/>
        <v>108.1</v>
      </c>
    </row>
    <row r="35" s="106" customFormat="1" ht="19.9" customHeight="1" spans="1:4">
      <c r="A35" s="129" t="s">
        <v>1289</v>
      </c>
      <c r="B35" s="41"/>
      <c r="C35" s="41"/>
      <c r="D35" s="152"/>
    </row>
    <row r="36" s="106" customFormat="1" ht="20.1" customHeight="1" spans="1:4">
      <c r="A36" s="129" t="s">
        <v>1290</v>
      </c>
      <c r="B36" s="41">
        <v>7</v>
      </c>
      <c r="C36" s="41">
        <v>227</v>
      </c>
      <c r="D36" s="152">
        <f t="shared" ref="D36:D40" si="2">C36/B36</f>
        <v>32.4286</v>
      </c>
    </row>
    <row r="37" s="107" customFormat="1" ht="20.1" customHeight="1" spans="1:4">
      <c r="A37" s="129" t="s">
        <v>1291</v>
      </c>
      <c r="B37" s="41"/>
      <c r="C37" s="41"/>
      <c r="D37" s="152"/>
    </row>
    <row r="38" s="106" customFormat="1" ht="20.1" customHeight="1" spans="1:4">
      <c r="A38" s="131" t="s">
        <v>1292</v>
      </c>
      <c r="B38" s="41"/>
      <c r="C38" s="41"/>
      <c r="D38" s="152"/>
    </row>
    <row r="39" s="106" customFormat="1" ht="20.1" customHeight="1" spans="1:4">
      <c r="A39" s="131" t="s">
        <v>1293</v>
      </c>
      <c r="B39" s="41">
        <v>802</v>
      </c>
      <c r="C39" s="41">
        <v>6188</v>
      </c>
      <c r="D39" s="152">
        <f t="shared" si="2"/>
        <v>7.7157</v>
      </c>
    </row>
    <row r="40" s="106" customFormat="1" ht="20.1" customHeight="1" spans="1:4">
      <c r="A40" s="131" t="s">
        <v>1294</v>
      </c>
      <c r="B40" s="41">
        <v>1</v>
      </c>
      <c r="C40" s="41">
        <v>294</v>
      </c>
      <c r="D40" s="152">
        <f t="shared" si="2"/>
        <v>294</v>
      </c>
    </row>
    <row r="41" s="106" customFormat="1" ht="20.1" customHeight="1" spans="1:4">
      <c r="A41" s="131" t="s">
        <v>1295</v>
      </c>
      <c r="B41" s="41"/>
      <c r="C41" s="41"/>
      <c r="D41" s="152"/>
    </row>
    <row r="42" s="106" customFormat="1" ht="20.1" customHeight="1" spans="1:4">
      <c r="A42" s="131" t="s">
        <v>1267</v>
      </c>
      <c r="B42" s="41"/>
      <c r="C42" s="41"/>
      <c r="D42" s="152"/>
    </row>
    <row r="43" s="106" customFormat="1" ht="20.1" customHeight="1" spans="1:4">
      <c r="A43" s="167" t="s">
        <v>4959</v>
      </c>
      <c r="B43" s="149">
        <f>SUM(B44:B52)</f>
        <v>0</v>
      </c>
      <c r="C43" s="149">
        <f>SUM(C44:C52)</f>
        <v>0</v>
      </c>
      <c r="D43" s="150"/>
    </row>
    <row r="44" s="106" customFormat="1" ht="20.1" customHeight="1" spans="1:4">
      <c r="A44" s="129" t="s">
        <v>1297</v>
      </c>
      <c r="B44" s="41"/>
      <c r="C44" s="41"/>
      <c r="D44" s="152"/>
    </row>
    <row r="45" s="106" customFormat="1" ht="20.1" customHeight="1" spans="1:4">
      <c r="A45" s="129" t="s">
        <v>1298</v>
      </c>
      <c r="B45" s="41"/>
      <c r="C45" s="41"/>
      <c r="D45" s="152"/>
    </row>
    <row r="46" s="106" customFormat="1" ht="20.1" customHeight="1" spans="1:4">
      <c r="A46" s="129" t="s">
        <v>1299</v>
      </c>
      <c r="B46" s="41"/>
      <c r="C46" s="41"/>
      <c r="D46" s="152"/>
    </row>
    <row r="47" s="106" customFormat="1" ht="20.1" customHeight="1" spans="1:4">
      <c r="A47" s="129" t="s">
        <v>1300</v>
      </c>
      <c r="B47" s="41"/>
      <c r="C47" s="41"/>
      <c r="D47" s="152"/>
    </row>
    <row r="48" s="106" customFormat="1" ht="20.1" customHeight="1" spans="1:4">
      <c r="A48" s="129" t="s">
        <v>1301</v>
      </c>
      <c r="B48" s="41"/>
      <c r="C48" s="41"/>
      <c r="D48" s="152"/>
    </row>
    <row r="49" s="106" customFormat="1" ht="20.1" customHeight="1" spans="1:4">
      <c r="A49" s="129" t="s">
        <v>1302</v>
      </c>
      <c r="B49" s="41"/>
      <c r="C49" s="41"/>
      <c r="D49" s="152"/>
    </row>
    <row r="50" s="106" customFormat="1" ht="20.1" customHeight="1" spans="1:4">
      <c r="A50" s="129" t="s">
        <v>1303</v>
      </c>
      <c r="B50" s="41"/>
      <c r="C50" s="41"/>
      <c r="D50" s="152"/>
    </row>
    <row r="51" s="106" customFormat="1" ht="20.1" customHeight="1" spans="1:4">
      <c r="A51" s="129" t="s">
        <v>1304</v>
      </c>
      <c r="B51" s="41"/>
      <c r="C51" s="41"/>
      <c r="D51" s="152"/>
    </row>
    <row r="52" s="106" customFormat="1" ht="20.1" customHeight="1" spans="1:4">
      <c r="A52" s="129" t="s">
        <v>1267</v>
      </c>
      <c r="B52" s="41"/>
      <c r="C52" s="41"/>
      <c r="D52" s="152"/>
    </row>
    <row r="53" s="106" customFormat="1" ht="20.1" customHeight="1" spans="1:4">
      <c r="A53" s="167" t="s">
        <v>4960</v>
      </c>
      <c r="B53" s="149">
        <f>SUM(B54:B55)</f>
        <v>308</v>
      </c>
      <c r="C53" s="149">
        <f>SUM(C54:C55)</f>
        <v>97</v>
      </c>
      <c r="D53" s="150">
        <f>C53/B53</f>
        <v>0.3149</v>
      </c>
    </row>
    <row r="54" s="106" customFormat="1" ht="20.1" customHeight="1" spans="1:4">
      <c r="A54" s="129" t="s">
        <v>1306</v>
      </c>
      <c r="B54" s="41"/>
      <c r="C54" s="41"/>
      <c r="D54" s="152"/>
    </row>
    <row r="55" s="106" customFormat="1" ht="20.1" customHeight="1" spans="1:4">
      <c r="A55" s="129" t="s">
        <v>1267</v>
      </c>
      <c r="B55" s="41">
        <v>308</v>
      </c>
      <c r="C55" s="41">
        <v>97</v>
      </c>
      <c r="D55" s="152">
        <f>C55/B55</f>
        <v>0.3149</v>
      </c>
    </row>
    <row r="56" s="106" customFormat="1" ht="20.1" customHeight="1" spans="1:4">
      <c r="A56" s="167" t="s">
        <v>4961</v>
      </c>
      <c r="B56" s="149">
        <f t="shared" ref="B56:B60" si="3">SUM(B57)</f>
        <v>0</v>
      </c>
      <c r="C56" s="149">
        <f t="shared" ref="C56:C60" si="4">SUM(C57)</f>
        <v>0</v>
      </c>
      <c r="D56" s="150"/>
    </row>
    <row r="57" s="106" customFormat="1" ht="20.1" customHeight="1" spans="1:4">
      <c r="A57" s="129" t="s">
        <v>1308</v>
      </c>
      <c r="B57" s="41"/>
      <c r="C57" s="41"/>
      <c r="D57" s="152"/>
    </row>
    <row r="58" s="106" customFormat="1" ht="20.1" customHeight="1" spans="1:4">
      <c r="A58" s="167" t="s">
        <v>4962</v>
      </c>
      <c r="B58" s="149">
        <f t="shared" si="3"/>
        <v>0</v>
      </c>
      <c r="C58" s="149">
        <f t="shared" si="4"/>
        <v>0</v>
      </c>
      <c r="D58" s="150"/>
    </row>
    <row r="59" s="106" customFormat="1" ht="20.1" customHeight="1" spans="1:4">
      <c r="A59" s="129" t="s">
        <v>1310</v>
      </c>
      <c r="B59" s="41"/>
      <c r="C59" s="41"/>
      <c r="D59" s="152"/>
    </row>
    <row r="60" s="106" customFormat="1" ht="20.1" customHeight="1" spans="1:4">
      <c r="A60" s="167" t="s">
        <v>4963</v>
      </c>
      <c r="B60" s="149">
        <f t="shared" si="3"/>
        <v>0</v>
      </c>
      <c r="C60" s="149">
        <f t="shared" si="4"/>
        <v>0</v>
      </c>
      <c r="D60" s="150"/>
    </row>
    <row r="61" s="106" customFormat="1" ht="20.1" customHeight="1" spans="1:4">
      <c r="A61" s="129" t="s">
        <v>1267</v>
      </c>
      <c r="B61" s="41"/>
      <c r="C61" s="41"/>
      <c r="D61" s="152"/>
    </row>
    <row r="62" s="106" customFormat="1" ht="20.1" customHeight="1" spans="1:4">
      <c r="A62" s="167" t="s">
        <v>4964</v>
      </c>
      <c r="B62" s="149">
        <f>SUM(B63)</f>
        <v>0</v>
      </c>
      <c r="C62" s="149">
        <f>SUM(C63)</f>
        <v>0</v>
      </c>
      <c r="D62" s="150"/>
    </row>
    <row r="63" s="106" customFormat="1" ht="20.1" customHeight="1" spans="1:4">
      <c r="A63" s="129" t="s">
        <v>1267</v>
      </c>
      <c r="B63" s="41"/>
      <c r="C63" s="41"/>
      <c r="D63" s="152"/>
    </row>
    <row r="64" s="106" customFormat="1" ht="20.1" customHeight="1" spans="1:4">
      <c r="A64" s="167" t="s">
        <v>4965</v>
      </c>
      <c r="B64" s="149">
        <f>SUM(B65)</f>
        <v>0</v>
      </c>
      <c r="C64" s="149">
        <f>SUM(C65)</f>
        <v>0</v>
      </c>
      <c r="D64" s="150"/>
    </row>
    <row r="65" s="106" customFormat="1" ht="20.1" customHeight="1" spans="1:4">
      <c r="A65" s="129" t="s">
        <v>1267</v>
      </c>
      <c r="B65" s="41"/>
      <c r="C65" s="41"/>
      <c r="D65" s="152"/>
    </row>
    <row r="66" s="140" customFormat="1" ht="20.1" customHeight="1" spans="1:4">
      <c r="A66" s="167" t="s">
        <v>4966</v>
      </c>
      <c r="B66" s="149">
        <f>SUM(B67:B72)</f>
        <v>320</v>
      </c>
      <c r="C66" s="149">
        <f>SUM(C67:C72)</f>
        <v>2244</v>
      </c>
      <c r="D66" s="150">
        <f>C66/B66</f>
        <v>7.0125</v>
      </c>
    </row>
    <row r="67" s="140" customFormat="1" ht="20.1" customHeight="1" spans="1:4">
      <c r="A67" s="129" t="s">
        <v>1315</v>
      </c>
      <c r="B67" s="41"/>
      <c r="C67" s="41">
        <v>748</v>
      </c>
      <c r="D67" s="152"/>
    </row>
    <row r="68" s="140" customFormat="1" ht="20.1" customHeight="1" spans="1:4">
      <c r="A68" s="129" t="s">
        <v>1316</v>
      </c>
      <c r="B68" s="41"/>
      <c r="C68" s="41"/>
      <c r="D68" s="152"/>
    </row>
    <row r="69" s="140" customFormat="1" ht="20.1" customHeight="1" spans="1:4">
      <c r="A69" s="129" t="s">
        <v>1317</v>
      </c>
      <c r="B69" s="41"/>
      <c r="C69" s="41"/>
      <c r="D69" s="152"/>
    </row>
    <row r="70" s="140" customFormat="1" ht="20.1" customHeight="1" spans="1:4">
      <c r="A70" s="129" t="s">
        <v>1318</v>
      </c>
      <c r="B70" s="41"/>
      <c r="C70" s="41"/>
      <c r="D70" s="152"/>
    </row>
    <row r="71" s="140" customFormat="1" ht="20.1" customHeight="1" spans="1:4">
      <c r="A71" s="129" t="s">
        <v>1319</v>
      </c>
      <c r="B71" s="41">
        <v>320</v>
      </c>
      <c r="C71" s="41">
        <v>1496</v>
      </c>
      <c r="D71" s="152">
        <f t="shared" ref="D71:D76" si="5">C71/B71</f>
        <v>4.675</v>
      </c>
    </row>
    <row r="72" s="140" customFormat="1" ht="20.1" customHeight="1" spans="1:4">
      <c r="A72" s="129" t="s">
        <v>1320</v>
      </c>
      <c r="B72" s="41"/>
      <c r="C72" s="41"/>
      <c r="D72" s="152"/>
    </row>
    <row r="73" s="140" customFormat="1" ht="20.1" customHeight="1" spans="1:4">
      <c r="A73" s="168" t="s">
        <v>4967</v>
      </c>
      <c r="B73" s="149">
        <f>SUM(B74)</f>
        <v>2845</v>
      </c>
      <c r="C73" s="149">
        <f>SUM(C74)</f>
        <v>2360</v>
      </c>
      <c r="D73" s="150">
        <f t="shared" si="5"/>
        <v>0.8295</v>
      </c>
    </row>
    <row r="74" s="140" customFormat="1" ht="20.1" customHeight="1" spans="1:4">
      <c r="A74" s="129" t="s">
        <v>1326</v>
      </c>
      <c r="B74" s="41">
        <v>2845</v>
      </c>
      <c r="C74" s="41">
        <v>2360</v>
      </c>
      <c r="D74" s="152">
        <f t="shared" si="5"/>
        <v>0.8295</v>
      </c>
    </row>
    <row r="75" s="140" customFormat="1" ht="20.1" customHeight="1" spans="1:4">
      <c r="A75" s="168" t="s">
        <v>4968</v>
      </c>
      <c r="B75" s="149">
        <f>SUM(B76)</f>
        <v>23</v>
      </c>
      <c r="C75" s="149">
        <f>SUM(C76)</f>
        <v>0</v>
      </c>
      <c r="D75" s="150">
        <f t="shared" si="5"/>
        <v>0</v>
      </c>
    </row>
    <row r="76" s="140" customFormat="1" ht="20.1" customHeight="1" spans="1:4">
      <c r="A76" s="129" t="s">
        <v>1328</v>
      </c>
      <c r="B76" s="41">
        <v>23</v>
      </c>
      <c r="C76" s="41"/>
      <c r="D76" s="152">
        <f t="shared" si="5"/>
        <v>0</v>
      </c>
    </row>
    <row r="77" s="140" customFormat="1" ht="20.1" customHeight="1" spans="1:4">
      <c r="A77" s="168" t="s">
        <v>4969</v>
      </c>
      <c r="B77" s="149">
        <f>SUM(B78:B79)</f>
        <v>0</v>
      </c>
      <c r="C77" s="149">
        <f>SUM(C78:C79)</f>
        <v>0</v>
      </c>
      <c r="D77" s="150"/>
    </row>
    <row r="78" s="140" customFormat="1" ht="20.1" customHeight="1" spans="1:4">
      <c r="A78" s="129" t="s">
        <v>1330</v>
      </c>
      <c r="B78" s="41"/>
      <c r="C78" s="41"/>
      <c r="D78" s="152"/>
    </row>
    <row r="79" s="140" customFormat="1" ht="20.1" customHeight="1" spans="1:4">
      <c r="A79" s="129" t="s">
        <v>1331</v>
      </c>
      <c r="B79" s="41"/>
      <c r="C79" s="41"/>
      <c r="D79" s="152"/>
    </row>
    <row r="80" s="140" customFormat="1" ht="20.1" customHeight="1" spans="1:4">
      <c r="A80" s="137"/>
      <c r="B80" s="41"/>
      <c r="C80" s="41"/>
      <c r="D80" s="152"/>
    </row>
    <row r="81" s="140" customFormat="1" spans="1:4">
      <c r="A81" s="137"/>
      <c r="B81" s="41"/>
      <c r="C81" s="41"/>
      <c r="D81" s="152"/>
    </row>
    <row r="82" s="140" customFormat="1" spans="1:4">
      <c r="A82" s="169" t="s">
        <v>4881</v>
      </c>
      <c r="B82" s="41">
        <f>B5+B7+B10+B15+B17+B21+B33+B43+B53+B56+B58+B60+B62+B64+B66+B73+B75+B77</f>
        <v>34730</v>
      </c>
      <c r="C82" s="41">
        <f>C5+C7+C10+C15+C17+C21+C33+C43+C53+C56+C58+C60+C62+C64+C66+C73+C75+C77</f>
        <v>32074</v>
      </c>
      <c r="D82" s="152">
        <f>C82/B82</f>
        <v>0.9235</v>
      </c>
    </row>
    <row r="83" s="140" customFormat="1" spans="1:4">
      <c r="A83" s="168" t="s">
        <v>4970</v>
      </c>
      <c r="B83" s="149">
        <f>SUM(B84:B89)</f>
        <v>19865</v>
      </c>
      <c r="C83" s="149">
        <f>SUM(C84:C89)</f>
        <v>0</v>
      </c>
      <c r="D83" s="150">
        <f>C83/B83</f>
        <v>0</v>
      </c>
    </row>
    <row r="84" s="140" customFormat="1" spans="1:4">
      <c r="A84" s="131" t="s">
        <v>4945</v>
      </c>
      <c r="B84" s="41"/>
      <c r="C84" s="41"/>
      <c r="D84" s="152"/>
    </row>
    <row r="85" s="140" customFormat="1" spans="1:4">
      <c r="A85" s="131" t="s">
        <v>1241</v>
      </c>
      <c r="B85" s="41"/>
      <c r="C85" s="41"/>
      <c r="D85" s="152"/>
    </row>
    <row r="86" s="140" customFormat="1" spans="1:4">
      <c r="A86" s="131" t="s">
        <v>1243</v>
      </c>
      <c r="B86" s="41"/>
      <c r="C86" s="41"/>
      <c r="D86" s="152"/>
    </row>
    <row r="87" s="140" customFormat="1" spans="1:4">
      <c r="A87" s="131" t="s">
        <v>1245</v>
      </c>
      <c r="B87" s="41">
        <v>19865</v>
      </c>
      <c r="C87" s="41"/>
      <c r="D87" s="152"/>
    </row>
    <row r="88" s="140" customFormat="1" spans="1:4">
      <c r="A88" s="131" t="s">
        <v>1247</v>
      </c>
      <c r="B88" s="41"/>
      <c r="C88" s="41"/>
      <c r="D88" s="152"/>
    </row>
    <row r="89" s="140" customFormat="1" spans="1:4">
      <c r="A89" s="131" t="s">
        <v>1249</v>
      </c>
      <c r="B89" s="41"/>
      <c r="C89" s="41"/>
      <c r="D89" s="152"/>
    </row>
    <row r="90" s="140" customFormat="1" spans="1:4">
      <c r="A90" s="168" t="s">
        <v>4971</v>
      </c>
      <c r="B90" s="149">
        <f>SUM(B91:B93)</f>
        <v>5782</v>
      </c>
      <c r="C90" s="149">
        <f>SUM(C91:C93)</f>
        <v>0</v>
      </c>
      <c r="D90" s="150">
        <f>C90/B90</f>
        <v>0</v>
      </c>
    </row>
    <row r="91" s="140" customFormat="1" spans="1:4">
      <c r="A91" s="129" t="s">
        <v>1322</v>
      </c>
      <c r="B91" s="41">
        <v>5782</v>
      </c>
      <c r="C91" s="41"/>
      <c r="D91" s="152">
        <f>C91/B91</f>
        <v>0</v>
      </c>
    </row>
    <row r="92" s="140" customFormat="1" spans="1:4">
      <c r="A92" s="129" t="s">
        <v>1323</v>
      </c>
      <c r="B92" s="41"/>
      <c r="C92" s="41"/>
      <c r="D92" s="152"/>
    </row>
    <row r="93" s="140" customFormat="1" spans="1:4">
      <c r="A93" s="129" t="s">
        <v>1324</v>
      </c>
      <c r="B93" s="41"/>
      <c r="C93" s="41"/>
      <c r="D93" s="152"/>
    </row>
    <row r="94" s="140" customFormat="1" spans="1:4">
      <c r="A94" s="41"/>
      <c r="B94" s="41"/>
      <c r="C94" s="41"/>
      <c r="D94" s="152"/>
    </row>
    <row r="95" s="140" customFormat="1" spans="1:4">
      <c r="A95" s="41"/>
      <c r="B95" s="41"/>
      <c r="C95" s="41"/>
      <c r="D95" s="152"/>
    </row>
    <row r="96" s="140" customFormat="1" spans="1:4">
      <c r="A96" s="165" t="s">
        <v>4972</v>
      </c>
      <c r="B96" s="41">
        <f>B82+B83+B90</f>
        <v>60377</v>
      </c>
      <c r="C96" s="41">
        <f>C82+C83+C90</f>
        <v>32074</v>
      </c>
      <c r="D96" s="152">
        <f>C96/B96</f>
        <v>0.5312</v>
      </c>
    </row>
  </sheetData>
  <mergeCells count="2">
    <mergeCell ref="A1:D1"/>
    <mergeCell ref="A3:D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7"/>
  <sheetViews>
    <sheetView zoomScaleSheetLayoutView="60" workbookViewId="0">
      <selection activeCell="J25" sqref="J25"/>
    </sheetView>
  </sheetViews>
  <sheetFormatPr defaultColWidth="9" defaultRowHeight="15.75" outlineLevelCol="7"/>
  <cols>
    <col min="1" max="1" width="36.5" style="140" customWidth="1"/>
    <col min="2" max="2" width="10.5" style="140" customWidth="1"/>
    <col min="3" max="3" width="8.625" style="140" customWidth="1"/>
    <col min="4" max="4" width="11.5" style="140" customWidth="1"/>
    <col min="5" max="5" width="51.875" style="140" customWidth="1"/>
    <col min="6" max="6" width="10.375" style="140" customWidth="1"/>
    <col min="7" max="7" width="9.375" style="140" customWidth="1"/>
    <col min="8" max="8" width="12" style="142" customWidth="1"/>
    <col min="9" max="16384" width="9" style="140"/>
  </cols>
  <sheetData>
    <row r="1" s="140" customFormat="1" ht="18" customHeight="1" spans="1:8">
      <c r="A1" s="698" t="s">
        <v>4973</v>
      </c>
      <c r="B1" s="120"/>
      <c r="C1" s="120"/>
      <c r="D1" s="120"/>
      <c r="E1" s="120"/>
      <c r="F1" s="120"/>
      <c r="G1" s="120"/>
      <c r="H1" s="154"/>
    </row>
    <row r="2" s="140" customFormat="1" ht="18" customHeight="1" spans="1:8">
      <c r="A2" s="143"/>
      <c r="H2" s="155" t="s">
        <v>4533</v>
      </c>
    </row>
    <row r="3" s="140" customFormat="1" ht="24.75" customHeight="1" spans="1:8">
      <c r="A3" s="144" t="s">
        <v>4896</v>
      </c>
      <c r="B3" s="145"/>
      <c r="C3" s="145"/>
      <c r="D3" s="146"/>
      <c r="E3" s="144" t="s">
        <v>4944</v>
      </c>
      <c r="F3" s="145"/>
      <c r="G3" s="145"/>
      <c r="H3" s="156"/>
    </row>
    <row r="4" s="106" customFormat="1" ht="35.25" customHeight="1" spans="1:8">
      <c r="A4" s="42" t="s">
        <v>89</v>
      </c>
      <c r="B4" s="147" t="s">
        <v>4897</v>
      </c>
      <c r="C4" s="147" t="s">
        <v>4898</v>
      </c>
      <c r="D4" s="147" t="s">
        <v>1455</v>
      </c>
      <c r="E4" s="42" t="s">
        <v>89</v>
      </c>
      <c r="F4" s="147" t="s">
        <v>4897</v>
      </c>
      <c r="G4" s="147" t="s">
        <v>4898</v>
      </c>
      <c r="H4" s="157" t="s">
        <v>1455</v>
      </c>
    </row>
    <row r="5" s="141" customFormat="1" ht="20.1" customHeight="1" spans="1:8">
      <c r="A5" s="148" t="s">
        <v>897</v>
      </c>
      <c r="B5" s="149">
        <f>SUM(B6:B34)</f>
        <v>11294</v>
      </c>
      <c r="C5" s="149">
        <f>SUM(C6:C34)</f>
        <v>10780</v>
      </c>
      <c r="D5" s="150">
        <f>C5/B5</f>
        <v>0.9545</v>
      </c>
      <c r="E5" s="127" t="s">
        <v>898</v>
      </c>
      <c r="F5" s="158">
        <f>SUM(F6)</f>
        <v>0</v>
      </c>
      <c r="G5" s="158">
        <f>SUM(G6)</f>
        <v>0</v>
      </c>
      <c r="H5" s="150"/>
    </row>
    <row r="6" s="141" customFormat="1" ht="20.1" customHeight="1" spans="1:8">
      <c r="A6" s="151" t="s">
        <v>4899</v>
      </c>
      <c r="B6" s="41"/>
      <c r="C6" s="41"/>
      <c r="D6" s="152"/>
      <c r="E6" s="129" t="s">
        <v>1267</v>
      </c>
      <c r="F6" s="41"/>
      <c r="G6" s="41"/>
      <c r="H6" s="152"/>
    </row>
    <row r="7" s="141" customFormat="1" ht="20.1" customHeight="1" spans="1:8">
      <c r="A7" s="151" t="s">
        <v>4900</v>
      </c>
      <c r="B7" s="41"/>
      <c r="C7" s="41"/>
      <c r="D7" s="152"/>
      <c r="E7" s="127" t="s">
        <v>915</v>
      </c>
      <c r="F7" s="149">
        <f>F8+F9</f>
        <v>0</v>
      </c>
      <c r="G7" s="149">
        <f>G8+G9</f>
        <v>0</v>
      </c>
      <c r="H7" s="150"/>
    </row>
    <row r="8" s="141" customFormat="1" ht="20.1" customHeight="1" spans="1:8">
      <c r="A8" s="151" t="s">
        <v>4901</v>
      </c>
      <c r="B8" s="41"/>
      <c r="C8" s="41"/>
      <c r="D8" s="152"/>
      <c r="E8" s="130" t="s">
        <v>1268</v>
      </c>
      <c r="F8" s="41"/>
      <c r="G8" s="41"/>
      <c r="H8" s="152"/>
    </row>
    <row r="9" s="141" customFormat="1" ht="20.1" customHeight="1" spans="1:8">
      <c r="A9" s="151" t="s">
        <v>4902</v>
      </c>
      <c r="B9" s="41"/>
      <c r="C9" s="41"/>
      <c r="D9" s="152"/>
      <c r="E9" s="129" t="s">
        <v>1267</v>
      </c>
      <c r="F9" s="41"/>
      <c r="G9" s="41"/>
      <c r="H9" s="152"/>
    </row>
    <row r="10" s="141" customFormat="1" ht="20.1" customHeight="1" spans="1:8">
      <c r="A10" s="151" t="s">
        <v>4903</v>
      </c>
      <c r="B10" s="41"/>
      <c r="C10" s="41"/>
      <c r="D10" s="152"/>
      <c r="E10" s="127" t="s">
        <v>941</v>
      </c>
      <c r="F10" s="149">
        <f>SUM(F11:F14)</f>
        <v>9</v>
      </c>
      <c r="G10" s="149">
        <f>SUM(G11:G14)</f>
        <v>50</v>
      </c>
      <c r="H10" s="150">
        <f>G10/F10</f>
        <v>5.5556</v>
      </c>
    </row>
    <row r="11" s="141" customFormat="1" ht="20.1" customHeight="1" spans="1:8">
      <c r="A11" s="151" t="s">
        <v>4904</v>
      </c>
      <c r="B11" s="41"/>
      <c r="C11" s="41"/>
      <c r="D11" s="152"/>
      <c r="E11" s="130" t="s">
        <v>1269</v>
      </c>
      <c r="F11" s="41">
        <v>9</v>
      </c>
      <c r="G11" s="41"/>
      <c r="H11" s="152">
        <f>G11/F11</f>
        <v>0</v>
      </c>
    </row>
    <row r="12" s="141" customFormat="1" ht="20.1" customHeight="1" spans="1:8">
      <c r="A12" s="151" t="s">
        <v>4905</v>
      </c>
      <c r="B12" s="41"/>
      <c r="C12" s="41"/>
      <c r="D12" s="152"/>
      <c r="E12" s="130" t="s">
        <v>1270</v>
      </c>
      <c r="F12" s="41"/>
      <c r="G12" s="41">
        <v>50</v>
      </c>
      <c r="H12" s="152"/>
    </row>
    <row r="13" s="141" customFormat="1" ht="20.1" customHeight="1" spans="1:8">
      <c r="A13" s="151" t="s">
        <v>4906</v>
      </c>
      <c r="B13" s="41"/>
      <c r="C13" s="41"/>
      <c r="D13" s="152"/>
      <c r="E13" s="130" t="s">
        <v>1271</v>
      </c>
      <c r="F13" s="41"/>
      <c r="G13" s="41"/>
      <c r="H13" s="152"/>
    </row>
    <row r="14" s="141" customFormat="1" ht="20.1" customHeight="1" spans="1:8">
      <c r="A14" s="151" t="s">
        <v>4907</v>
      </c>
      <c r="B14" s="41">
        <v>10630</v>
      </c>
      <c r="C14" s="41">
        <v>10000</v>
      </c>
      <c r="D14" s="152">
        <f>C14/B14</f>
        <v>0.9407</v>
      </c>
      <c r="E14" s="129" t="s">
        <v>1267</v>
      </c>
      <c r="F14" s="41"/>
      <c r="G14" s="41"/>
      <c r="H14" s="152"/>
    </row>
    <row r="15" s="141" customFormat="1" ht="20.1" customHeight="1" spans="1:8">
      <c r="A15" s="151" t="s">
        <v>4908</v>
      </c>
      <c r="B15" s="41"/>
      <c r="C15" s="41"/>
      <c r="D15" s="152"/>
      <c r="E15" s="127" t="s">
        <v>1272</v>
      </c>
      <c r="F15" s="149">
        <f>SUM(F16)</f>
        <v>0</v>
      </c>
      <c r="G15" s="149">
        <f>SUM(G16)</f>
        <v>0</v>
      </c>
      <c r="H15" s="150"/>
    </row>
    <row r="16" s="141" customFormat="1" ht="20.1" customHeight="1" spans="1:8">
      <c r="A16" s="151" t="s">
        <v>4909</v>
      </c>
      <c r="B16" s="41"/>
      <c r="C16" s="41"/>
      <c r="D16" s="152"/>
      <c r="E16" s="129" t="s">
        <v>1267</v>
      </c>
      <c r="F16" s="41"/>
      <c r="G16" s="41"/>
      <c r="H16" s="152"/>
    </row>
    <row r="17" s="141" customFormat="1" ht="20.1" customHeight="1" spans="1:8">
      <c r="A17" s="151" t="s">
        <v>4910</v>
      </c>
      <c r="B17" s="41"/>
      <c r="C17" s="41"/>
      <c r="D17" s="152"/>
      <c r="E17" s="127" t="s">
        <v>1273</v>
      </c>
      <c r="F17" s="149">
        <f>SUM(F18:F20)</f>
        <v>0</v>
      </c>
      <c r="G17" s="149">
        <f>SUM(G18:G20)</f>
        <v>0</v>
      </c>
      <c r="H17" s="150"/>
    </row>
    <row r="18" s="141" customFormat="1" ht="20.1" customHeight="1" spans="1:8">
      <c r="A18" s="151" t="s">
        <v>4911</v>
      </c>
      <c r="B18" s="41"/>
      <c r="C18" s="41"/>
      <c r="D18" s="152"/>
      <c r="E18" s="129" t="s">
        <v>1274</v>
      </c>
      <c r="F18" s="41"/>
      <c r="G18" s="41"/>
      <c r="H18" s="152"/>
    </row>
    <row r="19" s="141" customFormat="1" ht="20.1" customHeight="1" spans="1:8">
      <c r="A19" s="151" t="s">
        <v>4912</v>
      </c>
      <c r="B19" s="41"/>
      <c r="C19" s="41"/>
      <c r="D19" s="152"/>
      <c r="E19" s="129" t="s">
        <v>1275</v>
      </c>
      <c r="F19" s="41"/>
      <c r="G19" s="41"/>
      <c r="H19" s="152"/>
    </row>
    <row r="20" s="141" customFormat="1" ht="20.1" customHeight="1" spans="1:8">
      <c r="A20" s="151" t="s">
        <v>4913</v>
      </c>
      <c r="B20" s="41"/>
      <c r="C20" s="41"/>
      <c r="D20" s="152"/>
      <c r="E20" s="129" t="s">
        <v>1267</v>
      </c>
      <c r="F20" s="41"/>
      <c r="G20" s="41"/>
      <c r="H20" s="152"/>
    </row>
    <row r="21" s="141" customFormat="1" ht="20.1" customHeight="1" spans="1:8">
      <c r="A21" s="151" t="s">
        <v>4914</v>
      </c>
      <c r="B21" s="41">
        <v>217</v>
      </c>
      <c r="C21" s="41">
        <v>80</v>
      </c>
      <c r="D21" s="152">
        <f>C21/B21</f>
        <v>0.3687</v>
      </c>
      <c r="E21" s="127" t="s">
        <v>1276</v>
      </c>
      <c r="F21" s="149">
        <f>SUM(F22:F32)</f>
        <v>30405</v>
      </c>
      <c r="G21" s="149">
        <f>SUM(G22:G32)</f>
        <v>19533</v>
      </c>
      <c r="H21" s="150">
        <f t="shared" ref="H21:H26" si="0">G21/F21</f>
        <v>0.6424</v>
      </c>
    </row>
    <row r="22" s="141" customFormat="1" ht="20.1" customHeight="1" spans="1:8">
      <c r="A22" s="151" t="s">
        <v>4915</v>
      </c>
      <c r="B22" s="41"/>
      <c r="C22" s="41"/>
      <c r="D22" s="152"/>
      <c r="E22" s="129" t="s">
        <v>1277</v>
      </c>
      <c r="F22" s="41">
        <v>7519</v>
      </c>
      <c r="G22" s="41">
        <f>17426+500</f>
        <v>17926</v>
      </c>
      <c r="H22" s="152">
        <f t="shared" si="0"/>
        <v>2.3841</v>
      </c>
    </row>
    <row r="23" s="106" customFormat="1" ht="20.1" customHeight="1" spans="1:8">
      <c r="A23" s="151" t="s">
        <v>4916</v>
      </c>
      <c r="B23" s="41"/>
      <c r="C23" s="41"/>
      <c r="D23" s="152"/>
      <c r="E23" s="129" t="s">
        <v>1278</v>
      </c>
      <c r="F23" s="41"/>
      <c r="G23" s="41"/>
      <c r="H23" s="152"/>
    </row>
    <row r="24" s="106" customFormat="1" ht="20.1" customHeight="1" spans="1:8">
      <c r="A24" s="151" t="s">
        <v>4917</v>
      </c>
      <c r="B24" s="41"/>
      <c r="C24" s="41"/>
      <c r="D24" s="152"/>
      <c r="E24" s="129" t="s">
        <v>1279</v>
      </c>
      <c r="F24" s="41"/>
      <c r="G24" s="41">
        <v>262</v>
      </c>
      <c r="H24" s="152"/>
    </row>
    <row r="25" s="106" customFormat="1" ht="20.1" customHeight="1" spans="1:8">
      <c r="A25" s="151" t="s">
        <v>4918</v>
      </c>
      <c r="B25" s="41"/>
      <c r="C25" s="41"/>
      <c r="D25" s="152"/>
      <c r="E25" s="129" t="s">
        <v>1280</v>
      </c>
      <c r="F25" s="41">
        <v>150</v>
      </c>
      <c r="G25" s="41">
        <v>183</v>
      </c>
      <c r="H25" s="152">
        <f t="shared" si="0"/>
        <v>1.22</v>
      </c>
    </row>
    <row r="26" s="106" customFormat="1" ht="20.1" customHeight="1" spans="1:8">
      <c r="A26" s="151" t="s">
        <v>4919</v>
      </c>
      <c r="B26" s="41"/>
      <c r="C26" s="41"/>
      <c r="D26" s="152"/>
      <c r="E26" s="129" t="s">
        <v>1281</v>
      </c>
      <c r="F26" s="41">
        <v>581</v>
      </c>
      <c r="G26" s="41">
        <v>1162</v>
      </c>
      <c r="H26" s="152">
        <f t="shared" si="0"/>
        <v>2</v>
      </c>
    </row>
    <row r="27" s="106" customFormat="1" ht="20.1" customHeight="1" spans="1:8">
      <c r="A27" s="151" t="s">
        <v>4920</v>
      </c>
      <c r="B27" s="41"/>
      <c r="C27" s="41"/>
      <c r="D27" s="152"/>
      <c r="E27" s="129" t="s">
        <v>1282</v>
      </c>
      <c r="F27" s="41"/>
      <c r="G27" s="41"/>
      <c r="H27" s="152"/>
    </row>
    <row r="28" s="106" customFormat="1" ht="20.1" customHeight="1" spans="1:8">
      <c r="A28" s="151" t="s">
        <v>4921</v>
      </c>
      <c r="B28" s="41"/>
      <c r="C28" s="41"/>
      <c r="D28" s="152"/>
      <c r="E28" s="129" t="s">
        <v>1283</v>
      </c>
      <c r="F28" s="41"/>
      <c r="G28" s="41"/>
      <c r="H28" s="152"/>
    </row>
    <row r="29" s="106" customFormat="1" ht="20.1" customHeight="1" spans="1:8">
      <c r="A29" s="151" t="s">
        <v>4922</v>
      </c>
      <c r="B29" s="41">
        <v>447</v>
      </c>
      <c r="C29" s="41">
        <v>700</v>
      </c>
      <c r="D29" s="152"/>
      <c r="E29" s="129" t="s">
        <v>1284</v>
      </c>
      <c r="F29" s="41"/>
      <c r="G29" s="41"/>
      <c r="H29" s="152"/>
    </row>
    <row r="30" s="106" customFormat="1" ht="20.1" customHeight="1" spans="1:8">
      <c r="A30" s="151" t="s">
        <v>4923</v>
      </c>
      <c r="B30" s="41"/>
      <c r="C30" s="41"/>
      <c r="D30" s="152"/>
      <c r="E30" s="129" t="s">
        <v>1285</v>
      </c>
      <c r="F30" s="41"/>
      <c r="G30" s="41"/>
      <c r="H30" s="152"/>
    </row>
    <row r="31" s="106" customFormat="1" ht="20.1" customHeight="1" spans="1:8">
      <c r="A31" s="151" t="s">
        <v>4924</v>
      </c>
      <c r="B31" s="41"/>
      <c r="C31" s="41"/>
      <c r="D31" s="152"/>
      <c r="E31" s="129" t="s">
        <v>1286</v>
      </c>
      <c r="F31" s="41">
        <v>22155</v>
      </c>
      <c r="G31" s="41"/>
      <c r="H31" s="152">
        <f t="shared" ref="H31:H34" si="1">G31/F31</f>
        <v>0</v>
      </c>
    </row>
    <row r="32" s="106" customFormat="1" ht="20.1" customHeight="1" spans="1:8">
      <c r="A32" s="151" t="s">
        <v>4925</v>
      </c>
      <c r="B32" s="41"/>
      <c r="C32" s="41"/>
      <c r="D32" s="152"/>
      <c r="E32" s="129" t="s">
        <v>1267</v>
      </c>
      <c r="F32" s="41"/>
      <c r="G32" s="41"/>
      <c r="H32" s="152"/>
    </row>
    <row r="33" s="106" customFormat="1" ht="20.1" customHeight="1" spans="1:8">
      <c r="A33" s="151" t="s">
        <v>4926</v>
      </c>
      <c r="B33" s="41"/>
      <c r="C33" s="41"/>
      <c r="D33" s="152"/>
      <c r="E33" s="127" t="s">
        <v>1287</v>
      </c>
      <c r="F33" s="149">
        <f>SUM(F34:F42)</f>
        <v>820</v>
      </c>
      <c r="G33" s="149">
        <f>SUM(G34:G42)</f>
        <v>7790</v>
      </c>
      <c r="H33" s="150">
        <f t="shared" si="1"/>
        <v>9.5</v>
      </c>
    </row>
    <row r="34" s="106" customFormat="1" ht="20.1" customHeight="1" spans="1:8">
      <c r="A34" s="151" t="s">
        <v>4927</v>
      </c>
      <c r="B34" s="41"/>
      <c r="C34" s="41"/>
      <c r="D34" s="152"/>
      <c r="E34" s="129" t="s">
        <v>1288</v>
      </c>
      <c r="F34" s="41">
        <v>10</v>
      </c>
      <c r="G34" s="41">
        <v>1081</v>
      </c>
      <c r="H34" s="152">
        <f t="shared" si="1"/>
        <v>108.1</v>
      </c>
    </row>
    <row r="35" s="106" customFormat="1" ht="19.9" customHeight="1" spans="1:8">
      <c r="A35" s="148" t="s">
        <v>993</v>
      </c>
      <c r="B35" s="149">
        <f>SUM(B36:B46)</f>
        <v>1630</v>
      </c>
      <c r="C35" s="149">
        <f>SUM(C36:C46)</f>
        <v>786</v>
      </c>
      <c r="D35" s="150">
        <f>C35/B35</f>
        <v>0.4822</v>
      </c>
      <c r="E35" s="129" t="s">
        <v>1289</v>
      </c>
      <c r="F35" s="41"/>
      <c r="G35" s="41"/>
      <c r="H35" s="152"/>
    </row>
    <row r="36" s="106" customFormat="1" ht="20.1" customHeight="1" spans="1:8">
      <c r="A36" s="151" t="s">
        <v>4928</v>
      </c>
      <c r="B36" s="41"/>
      <c r="C36" s="41"/>
      <c r="D36" s="152"/>
      <c r="E36" s="129" t="s">
        <v>1290</v>
      </c>
      <c r="F36" s="41">
        <v>7</v>
      </c>
      <c r="G36" s="41">
        <v>227</v>
      </c>
      <c r="H36" s="152">
        <f t="shared" ref="H36:H40" si="2">G36/F36</f>
        <v>32.4286</v>
      </c>
    </row>
    <row r="37" s="107" customFormat="1" ht="20.1" customHeight="1" spans="1:8">
      <c r="A37" s="151" t="s">
        <v>4929</v>
      </c>
      <c r="B37" s="41"/>
      <c r="C37" s="41"/>
      <c r="D37" s="152"/>
      <c r="E37" s="129" t="s">
        <v>1291</v>
      </c>
      <c r="F37" s="41"/>
      <c r="G37" s="41"/>
      <c r="H37" s="152"/>
    </row>
    <row r="38" s="106" customFormat="1" ht="20.1" customHeight="1" spans="1:8">
      <c r="A38" s="151" t="s">
        <v>4930</v>
      </c>
      <c r="B38" s="41"/>
      <c r="C38" s="41"/>
      <c r="D38" s="152"/>
      <c r="E38" s="131" t="s">
        <v>1292</v>
      </c>
      <c r="F38" s="41"/>
      <c r="G38" s="41"/>
      <c r="H38" s="152"/>
    </row>
    <row r="39" s="106" customFormat="1" ht="20.1" customHeight="1" spans="1:8">
      <c r="A39" s="151" t="s">
        <v>4931</v>
      </c>
      <c r="B39" s="41"/>
      <c r="C39" s="41"/>
      <c r="D39" s="152"/>
      <c r="E39" s="131" t="s">
        <v>1293</v>
      </c>
      <c r="F39" s="41">
        <v>802</v>
      </c>
      <c r="G39" s="41">
        <v>6188</v>
      </c>
      <c r="H39" s="152">
        <f t="shared" si="2"/>
        <v>7.7157</v>
      </c>
    </row>
    <row r="40" s="106" customFormat="1" ht="20.1" customHeight="1" spans="1:8">
      <c r="A40" s="151" t="s">
        <v>4932</v>
      </c>
      <c r="B40" s="41"/>
      <c r="C40" s="41"/>
      <c r="D40" s="152"/>
      <c r="E40" s="131" t="s">
        <v>1294</v>
      </c>
      <c r="F40" s="41">
        <v>1</v>
      </c>
      <c r="G40" s="41">
        <v>294</v>
      </c>
      <c r="H40" s="152">
        <f t="shared" si="2"/>
        <v>294</v>
      </c>
    </row>
    <row r="41" s="106" customFormat="1" ht="20.1" customHeight="1" spans="1:8">
      <c r="A41" s="151" t="s">
        <v>4933</v>
      </c>
      <c r="B41" s="41"/>
      <c r="C41" s="41"/>
      <c r="D41" s="152"/>
      <c r="E41" s="131" t="s">
        <v>1295</v>
      </c>
      <c r="F41" s="41"/>
      <c r="G41" s="41"/>
      <c r="H41" s="152"/>
    </row>
    <row r="42" s="106" customFormat="1" ht="20.1" customHeight="1" spans="1:8">
      <c r="A42" s="151" t="s">
        <v>4934</v>
      </c>
      <c r="B42" s="41"/>
      <c r="C42" s="41"/>
      <c r="D42" s="152"/>
      <c r="E42" s="131" t="s">
        <v>1267</v>
      </c>
      <c r="F42" s="41"/>
      <c r="G42" s="41"/>
      <c r="H42" s="152"/>
    </row>
    <row r="43" s="106" customFormat="1" ht="20.1" customHeight="1" spans="1:8">
      <c r="A43" s="151" t="s">
        <v>4935</v>
      </c>
      <c r="B43" s="41"/>
      <c r="C43" s="41"/>
      <c r="D43" s="152"/>
      <c r="E43" s="127" t="s">
        <v>1296</v>
      </c>
      <c r="F43" s="149">
        <f>SUM(F44:F52)</f>
        <v>0</v>
      </c>
      <c r="G43" s="149">
        <f>SUM(G44:G52)</f>
        <v>0</v>
      </c>
      <c r="H43" s="150"/>
    </row>
    <row r="44" s="106" customFormat="1" ht="20.1" customHeight="1" spans="1:8">
      <c r="A44" s="151" t="s">
        <v>4936</v>
      </c>
      <c r="B44" s="41"/>
      <c r="C44" s="41"/>
      <c r="D44" s="152"/>
      <c r="E44" s="129" t="s">
        <v>1297</v>
      </c>
      <c r="F44" s="41"/>
      <c r="G44" s="41"/>
      <c r="H44" s="152"/>
    </row>
    <row r="45" s="106" customFormat="1" ht="20.1" customHeight="1" spans="1:8">
      <c r="A45" s="151" t="s">
        <v>4937</v>
      </c>
      <c r="B45" s="41"/>
      <c r="C45" s="41"/>
      <c r="D45" s="152"/>
      <c r="E45" s="129" t="s">
        <v>1298</v>
      </c>
      <c r="F45" s="41"/>
      <c r="G45" s="41"/>
      <c r="H45" s="152"/>
    </row>
    <row r="46" s="106" customFormat="1" ht="20.1" customHeight="1" spans="1:8">
      <c r="A46" s="151" t="s">
        <v>4938</v>
      </c>
      <c r="B46" s="41">
        <v>1630</v>
      </c>
      <c r="C46" s="41">
        <v>786</v>
      </c>
      <c r="D46" s="152">
        <f>C46/B46</f>
        <v>0.4822</v>
      </c>
      <c r="E46" s="129" t="s">
        <v>1299</v>
      </c>
      <c r="F46" s="41"/>
      <c r="G46" s="41"/>
      <c r="H46" s="152"/>
    </row>
    <row r="47" s="106" customFormat="1" ht="20.1" customHeight="1" spans="1:8">
      <c r="A47" s="153"/>
      <c r="B47" s="41"/>
      <c r="C47" s="41"/>
      <c r="D47" s="152"/>
      <c r="E47" s="129" t="s">
        <v>1300</v>
      </c>
      <c r="F47" s="41"/>
      <c r="G47" s="41"/>
      <c r="H47" s="152"/>
    </row>
    <row r="48" s="106" customFormat="1" ht="20.1" customHeight="1" spans="1:8">
      <c r="A48" s="153"/>
      <c r="B48" s="41"/>
      <c r="C48" s="41"/>
      <c r="D48" s="152"/>
      <c r="E48" s="129" t="s">
        <v>1301</v>
      </c>
      <c r="F48" s="41"/>
      <c r="G48" s="41"/>
      <c r="H48" s="152"/>
    </row>
    <row r="49" s="106" customFormat="1" ht="20.1" customHeight="1" spans="1:8">
      <c r="A49" s="153"/>
      <c r="B49" s="41"/>
      <c r="C49" s="41"/>
      <c r="D49" s="152"/>
      <c r="E49" s="129" t="s">
        <v>1302</v>
      </c>
      <c r="F49" s="41"/>
      <c r="G49" s="41"/>
      <c r="H49" s="152"/>
    </row>
    <row r="50" s="106" customFormat="1" ht="20.1" customHeight="1" spans="1:8">
      <c r="A50" s="153"/>
      <c r="B50" s="41"/>
      <c r="C50" s="41"/>
      <c r="D50" s="152"/>
      <c r="E50" s="129" t="s">
        <v>1303</v>
      </c>
      <c r="F50" s="41"/>
      <c r="G50" s="41"/>
      <c r="H50" s="152"/>
    </row>
    <row r="51" s="106" customFormat="1" ht="20.1" customHeight="1" spans="1:8">
      <c r="A51" s="153"/>
      <c r="B51" s="41"/>
      <c r="C51" s="41"/>
      <c r="D51" s="152"/>
      <c r="E51" s="129" t="s">
        <v>1304</v>
      </c>
      <c r="F51" s="41"/>
      <c r="G51" s="41"/>
      <c r="H51" s="152"/>
    </row>
    <row r="52" s="106" customFormat="1" ht="20.1" customHeight="1" spans="1:8">
      <c r="A52" s="153"/>
      <c r="B52" s="41"/>
      <c r="C52" s="41"/>
      <c r="D52" s="152"/>
      <c r="E52" s="129" t="s">
        <v>1267</v>
      </c>
      <c r="F52" s="41"/>
      <c r="G52" s="41"/>
      <c r="H52" s="152"/>
    </row>
    <row r="53" s="106" customFormat="1" ht="20.1" customHeight="1" spans="1:8">
      <c r="A53" s="153"/>
      <c r="B53" s="41"/>
      <c r="C53" s="41"/>
      <c r="D53" s="152"/>
      <c r="E53" s="127" t="s">
        <v>1305</v>
      </c>
      <c r="F53" s="149">
        <f>SUM(F54:F55)</f>
        <v>308</v>
      </c>
      <c r="G53" s="149">
        <f>SUM(G54:G55)</f>
        <v>97</v>
      </c>
      <c r="H53" s="150">
        <f>G53/F53</f>
        <v>0.3149</v>
      </c>
    </row>
    <row r="54" s="106" customFormat="1" ht="20.1" customHeight="1" spans="1:8">
      <c r="A54" s="153"/>
      <c r="B54" s="41"/>
      <c r="C54" s="41"/>
      <c r="D54" s="152"/>
      <c r="E54" s="129" t="s">
        <v>1306</v>
      </c>
      <c r="F54" s="41"/>
      <c r="G54" s="41"/>
      <c r="H54" s="152"/>
    </row>
    <row r="55" s="106" customFormat="1" ht="20.1" customHeight="1" spans="1:8">
      <c r="A55" s="153"/>
      <c r="B55" s="41"/>
      <c r="C55" s="41"/>
      <c r="D55" s="152"/>
      <c r="E55" s="129" t="s">
        <v>1267</v>
      </c>
      <c r="F55" s="41">
        <v>308</v>
      </c>
      <c r="G55" s="41">
        <v>97</v>
      </c>
      <c r="H55" s="152">
        <f>G55/F55</f>
        <v>0.3149</v>
      </c>
    </row>
    <row r="56" s="106" customFormat="1" ht="20.1" customHeight="1" spans="1:8">
      <c r="A56" s="153"/>
      <c r="B56" s="41"/>
      <c r="C56" s="41"/>
      <c r="D56" s="152"/>
      <c r="E56" s="127" t="s">
        <v>1307</v>
      </c>
      <c r="F56" s="149">
        <f t="shared" ref="F56:F60" si="3">SUM(F57)</f>
        <v>0</v>
      </c>
      <c r="G56" s="149">
        <f t="shared" ref="G56:G60" si="4">SUM(G57)</f>
        <v>0</v>
      </c>
      <c r="H56" s="150"/>
    </row>
    <row r="57" s="106" customFormat="1" ht="20.1" customHeight="1" spans="1:8">
      <c r="A57" s="153"/>
      <c r="B57" s="41"/>
      <c r="C57" s="41"/>
      <c r="D57" s="152"/>
      <c r="E57" s="129" t="s">
        <v>1308</v>
      </c>
      <c r="F57" s="41"/>
      <c r="G57" s="41"/>
      <c r="H57" s="152"/>
    </row>
    <row r="58" s="106" customFormat="1" ht="20.1" customHeight="1" spans="1:8">
      <c r="A58" s="153"/>
      <c r="B58" s="41"/>
      <c r="C58" s="41"/>
      <c r="D58" s="152"/>
      <c r="E58" s="127" t="s">
        <v>1309</v>
      </c>
      <c r="F58" s="149">
        <f t="shared" si="3"/>
        <v>0</v>
      </c>
      <c r="G58" s="149">
        <f t="shared" si="4"/>
        <v>0</v>
      </c>
      <c r="H58" s="150"/>
    </row>
    <row r="59" s="106" customFormat="1" ht="20.1" customHeight="1" spans="1:8">
      <c r="A59" s="153"/>
      <c r="B59" s="41"/>
      <c r="C59" s="41"/>
      <c r="D59" s="152"/>
      <c r="E59" s="129" t="s">
        <v>1310</v>
      </c>
      <c r="F59" s="41"/>
      <c r="G59" s="41"/>
      <c r="H59" s="152"/>
    </row>
    <row r="60" s="106" customFormat="1" ht="20.1" customHeight="1" spans="1:8">
      <c r="A60" s="153"/>
      <c r="B60" s="41"/>
      <c r="C60" s="41"/>
      <c r="D60" s="152"/>
      <c r="E60" s="127" t="s">
        <v>1311</v>
      </c>
      <c r="F60" s="149">
        <f t="shared" si="3"/>
        <v>0</v>
      </c>
      <c r="G60" s="149">
        <f t="shared" si="4"/>
        <v>0</v>
      </c>
      <c r="H60" s="150"/>
    </row>
    <row r="61" s="106" customFormat="1" ht="20.1" customHeight="1" spans="1:8">
      <c r="A61" s="153"/>
      <c r="B61" s="41"/>
      <c r="C61" s="41"/>
      <c r="D61" s="152"/>
      <c r="E61" s="129" t="s">
        <v>1267</v>
      </c>
      <c r="F61" s="41"/>
      <c r="G61" s="41"/>
      <c r="H61" s="152"/>
    </row>
    <row r="62" s="106" customFormat="1" ht="20.1" customHeight="1" spans="1:8">
      <c r="A62" s="153"/>
      <c r="B62" s="41"/>
      <c r="C62" s="41"/>
      <c r="D62" s="152"/>
      <c r="E62" s="127" t="s">
        <v>1312</v>
      </c>
      <c r="F62" s="149">
        <f>SUM(F63)</f>
        <v>0</v>
      </c>
      <c r="G62" s="149">
        <f>SUM(G63)</f>
        <v>0</v>
      </c>
      <c r="H62" s="150"/>
    </row>
    <row r="63" s="106" customFormat="1" ht="20.1" customHeight="1" spans="1:8">
      <c r="A63" s="153"/>
      <c r="B63" s="41"/>
      <c r="C63" s="41"/>
      <c r="D63" s="152"/>
      <c r="E63" s="129" t="s">
        <v>1267</v>
      </c>
      <c r="F63" s="41"/>
      <c r="G63" s="41"/>
      <c r="H63" s="152"/>
    </row>
    <row r="64" s="106" customFormat="1" ht="20.1" customHeight="1" spans="1:8">
      <c r="A64" s="153"/>
      <c r="B64" s="41"/>
      <c r="C64" s="41"/>
      <c r="D64" s="152"/>
      <c r="E64" s="127" t="s">
        <v>1313</v>
      </c>
      <c r="F64" s="149">
        <f>SUM(F65)</f>
        <v>0</v>
      </c>
      <c r="G64" s="149">
        <f>SUM(G65)</f>
        <v>0</v>
      </c>
      <c r="H64" s="150"/>
    </row>
    <row r="65" s="106" customFormat="1" ht="20.1" customHeight="1" spans="1:8">
      <c r="A65" s="153"/>
      <c r="B65" s="41"/>
      <c r="C65" s="41"/>
      <c r="D65" s="152"/>
      <c r="E65" s="129" t="s">
        <v>1267</v>
      </c>
      <c r="F65" s="41"/>
      <c r="G65" s="41"/>
      <c r="H65" s="152"/>
    </row>
    <row r="66" s="106" customFormat="1" ht="20.1" customHeight="1" spans="1:8">
      <c r="A66" s="153"/>
      <c r="B66" s="41"/>
      <c r="C66" s="41"/>
      <c r="D66" s="152"/>
      <c r="E66" s="127" t="s">
        <v>1314</v>
      </c>
      <c r="F66" s="149">
        <f>SUM(F67:F72)</f>
        <v>320</v>
      </c>
      <c r="G66" s="149">
        <f>SUM(G67:G72)</f>
        <v>2244</v>
      </c>
      <c r="H66" s="150">
        <f>G66/F66</f>
        <v>7.0125</v>
      </c>
    </row>
    <row r="67" s="106" customFormat="1" ht="20.1" customHeight="1" spans="1:8">
      <c r="A67" s="153"/>
      <c r="B67" s="41"/>
      <c r="C67" s="41"/>
      <c r="D67" s="152"/>
      <c r="E67" s="129" t="s">
        <v>1315</v>
      </c>
      <c r="F67" s="41"/>
      <c r="G67" s="41">
        <v>748</v>
      </c>
      <c r="H67" s="152"/>
    </row>
    <row r="68" s="106" customFormat="1" ht="20.1" customHeight="1" spans="1:8">
      <c r="A68" s="153"/>
      <c r="B68" s="41"/>
      <c r="C68" s="41"/>
      <c r="D68" s="152"/>
      <c r="E68" s="129" t="s">
        <v>1316</v>
      </c>
      <c r="F68" s="41"/>
      <c r="G68" s="41"/>
      <c r="H68" s="152"/>
    </row>
    <row r="69" s="106" customFormat="1" ht="20.1" customHeight="1" spans="1:8">
      <c r="A69" s="153"/>
      <c r="B69" s="41"/>
      <c r="C69" s="41"/>
      <c r="D69" s="152"/>
      <c r="E69" s="129" t="s">
        <v>1317</v>
      </c>
      <c r="F69" s="41"/>
      <c r="G69" s="41"/>
      <c r="H69" s="152"/>
    </row>
    <row r="70" s="106" customFormat="1" ht="20.1" customHeight="1" spans="1:8">
      <c r="A70" s="153"/>
      <c r="B70" s="41"/>
      <c r="C70" s="41"/>
      <c r="D70" s="152"/>
      <c r="E70" s="129" t="s">
        <v>1318</v>
      </c>
      <c r="F70" s="41"/>
      <c r="G70" s="41"/>
      <c r="H70" s="152"/>
    </row>
    <row r="71" s="106" customFormat="1" ht="20.1" customHeight="1" spans="1:8">
      <c r="A71" s="153"/>
      <c r="B71" s="41"/>
      <c r="C71" s="41"/>
      <c r="D71" s="152"/>
      <c r="E71" s="129" t="s">
        <v>1319</v>
      </c>
      <c r="F71" s="41">
        <v>320</v>
      </c>
      <c r="G71" s="41">
        <v>1496</v>
      </c>
      <c r="H71" s="152">
        <f t="shared" ref="H71:H76" si="5">G71/F71</f>
        <v>4.675</v>
      </c>
    </row>
    <row r="72" s="106" customFormat="1" ht="20.1" customHeight="1" spans="1:8">
      <c r="A72" s="153"/>
      <c r="B72" s="41"/>
      <c r="C72" s="41"/>
      <c r="D72" s="152"/>
      <c r="E72" s="129" t="s">
        <v>1320</v>
      </c>
      <c r="F72" s="41"/>
      <c r="G72" s="41"/>
      <c r="H72" s="152"/>
    </row>
    <row r="73" s="106" customFormat="1" ht="20.1" customHeight="1" spans="1:8">
      <c r="A73" s="153"/>
      <c r="B73" s="41"/>
      <c r="C73" s="41"/>
      <c r="D73" s="152"/>
      <c r="E73" s="163" t="s">
        <v>1325</v>
      </c>
      <c r="F73" s="149">
        <f>SUM(F74)</f>
        <v>2845</v>
      </c>
      <c r="G73" s="149">
        <f>SUM(G74)</f>
        <v>2360</v>
      </c>
      <c r="H73" s="150">
        <f t="shared" si="5"/>
        <v>0.8295</v>
      </c>
    </row>
    <row r="74" s="106" customFormat="1" ht="20.1" customHeight="1" spans="1:8">
      <c r="A74" s="153"/>
      <c r="B74" s="41"/>
      <c r="C74" s="41"/>
      <c r="D74" s="152"/>
      <c r="E74" s="129" t="s">
        <v>1326</v>
      </c>
      <c r="F74" s="41">
        <v>2845</v>
      </c>
      <c r="G74" s="41">
        <v>2360</v>
      </c>
      <c r="H74" s="152">
        <f t="shared" si="5"/>
        <v>0.8295</v>
      </c>
    </row>
    <row r="75" s="106" customFormat="1" ht="20.1" customHeight="1" spans="1:8">
      <c r="A75" s="153"/>
      <c r="B75" s="41"/>
      <c r="C75" s="41"/>
      <c r="D75" s="152"/>
      <c r="E75" s="163" t="s">
        <v>1327</v>
      </c>
      <c r="F75" s="149">
        <f>SUM(F76)</f>
        <v>23</v>
      </c>
      <c r="G75" s="149">
        <f>SUM(G76)</f>
        <v>0</v>
      </c>
      <c r="H75" s="150">
        <f t="shared" si="5"/>
        <v>0</v>
      </c>
    </row>
    <row r="76" s="106" customFormat="1" ht="20.1" customHeight="1" spans="1:8">
      <c r="A76" s="153"/>
      <c r="B76" s="41"/>
      <c r="C76" s="41"/>
      <c r="D76" s="152"/>
      <c r="E76" s="129" t="s">
        <v>1328</v>
      </c>
      <c r="F76" s="41">
        <v>23</v>
      </c>
      <c r="G76" s="41"/>
      <c r="H76" s="152">
        <f t="shared" si="5"/>
        <v>0</v>
      </c>
    </row>
    <row r="77" s="106" customFormat="1" ht="20.1" customHeight="1" spans="1:8">
      <c r="A77" s="153"/>
      <c r="B77" s="41"/>
      <c r="C77" s="41"/>
      <c r="D77" s="152"/>
      <c r="E77" s="163" t="s">
        <v>1329</v>
      </c>
      <c r="F77" s="149">
        <f>SUM(F78:F79)</f>
        <v>0</v>
      </c>
      <c r="G77" s="149">
        <f>SUM(G78:G79)</f>
        <v>0</v>
      </c>
      <c r="H77" s="150"/>
    </row>
    <row r="78" s="106" customFormat="1" ht="20.1" customHeight="1" spans="1:8">
      <c r="A78" s="153"/>
      <c r="B78" s="41"/>
      <c r="C78" s="41"/>
      <c r="D78" s="152"/>
      <c r="E78" s="129" t="s">
        <v>1330</v>
      </c>
      <c r="F78" s="41"/>
      <c r="G78" s="41"/>
      <c r="H78" s="152"/>
    </row>
    <row r="79" s="106" customFormat="1" ht="20.1" customHeight="1" spans="1:8">
      <c r="A79" s="153"/>
      <c r="B79" s="41"/>
      <c r="C79" s="41"/>
      <c r="D79" s="152"/>
      <c r="E79" s="129" t="s">
        <v>1331</v>
      </c>
      <c r="F79" s="41"/>
      <c r="G79" s="41"/>
      <c r="H79" s="152"/>
    </row>
    <row r="80" s="106" customFormat="1" ht="20.1" customHeight="1" spans="1:8">
      <c r="A80" s="153"/>
      <c r="B80" s="41"/>
      <c r="C80" s="41"/>
      <c r="D80" s="152"/>
      <c r="E80" s="137"/>
      <c r="F80" s="41"/>
      <c r="G80" s="41"/>
      <c r="H80" s="152"/>
    </row>
    <row r="81" s="106" customFormat="1" ht="20.1" customHeight="1" spans="1:8">
      <c r="A81" s="153"/>
      <c r="B81" s="41"/>
      <c r="C81" s="41"/>
      <c r="D81" s="152"/>
      <c r="E81" s="137"/>
      <c r="F81" s="41"/>
      <c r="G81" s="41"/>
      <c r="H81" s="152"/>
    </row>
    <row r="82" s="107" customFormat="1" ht="20.1" customHeight="1" spans="1:8">
      <c r="A82" s="138" t="s">
        <v>4939</v>
      </c>
      <c r="B82" s="139">
        <f>B35+B5</f>
        <v>12924</v>
      </c>
      <c r="C82" s="139">
        <f>C35+C5</f>
        <v>11566</v>
      </c>
      <c r="D82" s="159">
        <f>C82/B82</f>
        <v>0.8949</v>
      </c>
      <c r="E82" s="138" t="s">
        <v>3546</v>
      </c>
      <c r="F82" s="139">
        <f>F5+F7+F10+F15+F17+F21+F33+F43+F53+F56+F58+F60+F62+F64+F66+F73+F75+F77</f>
        <v>34730</v>
      </c>
      <c r="G82" s="139">
        <f>G5+G7+G10+G15+G17+G21+G33+G43+G53+G56+G58+G60+G62+G64+G66+G73+G75+G77</f>
        <v>32074</v>
      </c>
      <c r="H82" s="159">
        <f>G82/F82</f>
        <v>0.9235</v>
      </c>
    </row>
    <row r="83" s="106" customFormat="1" ht="20.1" customHeight="1" spans="1:8">
      <c r="A83" s="160" t="s">
        <v>1236</v>
      </c>
      <c r="B83" s="149">
        <f>SUM(B84:B86)</f>
        <v>0</v>
      </c>
      <c r="C83" s="149">
        <f>SUM(C84:C86)</f>
        <v>0</v>
      </c>
      <c r="D83" s="150"/>
      <c r="E83" s="163" t="s">
        <v>1237</v>
      </c>
      <c r="F83" s="149">
        <f>SUM(F84:F89)</f>
        <v>19865</v>
      </c>
      <c r="G83" s="149">
        <f>SUM(G84:G89)</f>
        <v>0</v>
      </c>
      <c r="H83" s="150">
        <f>G83/F83</f>
        <v>0</v>
      </c>
    </row>
    <row r="84" s="106" customFormat="1" ht="20.1" customHeight="1" spans="1:8">
      <c r="A84" s="131" t="s">
        <v>4940</v>
      </c>
      <c r="B84" s="41"/>
      <c r="C84" s="41"/>
      <c r="D84" s="152"/>
      <c r="E84" s="131" t="s">
        <v>4945</v>
      </c>
      <c r="F84" s="41"/>
      <c r="G84" s="41"/>
      <c r="H84" s="152"/>
    </row>
    <row r="85" s="106" customFormat="1" ht="20.1" customHeight="1" spans="1:8">
      <c r="A85" s="131" t="s">
        <v>4941</v>
      </c>
      <c r="B85" s="41"/>
      <c r="C85" s="41"/>
      <c r="D85" s="152"/>
      <c r="E85" s="131" t="s">
        <v>1241</v>
      </c>
      <c r="F85" s="41"/>
      <c r="G85" s="41"/>
      <c r="H85" s="152"/>
    </row>
    <row r="86" s="106" customFormat="1" ht="20.1" customHeight="1" spans="1:8">
      <c r="A86" s="131" t="s">
        <v>4941</v>
      </c>
      <c r="B86" s="41"/>
      <c r="C86" s="41"/>
      <c r="D86" s="152"/>
      <c r="E86" s="131" t="s">
        <v>1243</v>
      </c>
      <c r="F86" s="41"/>
      <c r="G86" s="41"/>
      <c r="H86" s="152"/>
    </row>
    <row r="87" s="106" customFormat="1" ht="20.1" customHeight="1" spans="1:8">
      <c r="A87" s="160" t="s">
        <v>1246</v>
      </c>
      <c r="B87" s="149">
        <f>SUM(B88:B94)</f>
        <v>47453</v>
      </c>
      <c r="C87" s="149">
        <f>SUM(C88:C94)</f>
        <v>20508</v>
      </c>
      <c r="D87" s="150">
        <f t="shared" ref="D87:D90" si="6">C87/B87</f>
        <v>0.4322</v>
      </c>
      <c r="E87" s="131" t="s">
        <v>1245</v>
      </c>
      <c r="F87" s="41">
        <v>19865</v>
      </c>
      <c r="G87" s="41"/>
      <c r="H87" s="152"/>
    </row>
    <row r="88" s="106" customFormat="1" ht="20.1" customHeight="1" spans="1:8">
      <c r="A88" s="161" t="s">
        <v>1248</v>
      </c>
      <c r="B88" s="41">
        <v>1363</v>
      </c>
      <c r="C88" s="41">
        <v>643</v>
      </c>
      <c r="D88" s="152">
        <f t="shared" si="6"/>
        <v>0.4718</v>
      </c>
      <c r="E88" s="131" t="s">
        <v>1247</v>
      </c>
      <c r="F88" s="41"/>
      <c r="G88" s="41"/>
      <c r="H88" s="152"/>
    </row>
    <row r="89" s="106" customFormat="1" ht="20.1" customHeight="1" spans="1:8">
      <c r="A89" s="161" t="s">
        <v>1251</v>
      </c>
      <c r="B89" s="41"/>
      <c r="C89" s="41"/>
      <c r="D89" s="152"/>
      <c r="E89" s="131" t="s">
        <v>1249</v>
      </c>
      <c r="F89" s="41"/>
      <c r="G89" s="41"/>
      <c r="H89" s="152"/>
    </row>
    <row r="90" s="106" customFormat="1" ht="20.1" customHeight="1" spans="1:8">
      <c r="A90" s="161" t="s">
        <v>1252</v>
      </c>
      <c r="B90" s="41">
        <v>19153</v>
      </c>
      <c r="C90" s="41">
        <v>19865</v>
      </c>
      <c r="D90" s="152">
        <f t="shared" si="6"/>
        <v>1.0372</v>
      </c>
      <c r="E90" s="163" t="s">
        <v>4946</v>
      </c>
      <c r="F90" s="149">
        <f>SUM(F91:F93)</f>
        <v>5782</v>
      </c>
      <c r="G90" s="149">
        <f>SUM(G91:G93)</f>
        <v>0</v>
      </c>
      <c r="H90" s="150">
        <f>G90/F90</f>
        <v>0</v>
      </c>
    </row>
    <row r="91" s="106" customFormat="1" ht="20.1" customHeight="1" spans="1:8">
      <c r="A91" s="161" t="s">
        <v>1253</v>
      </c>
      <c r="B91" s="41"/>
      <c r="C91" s="41"/>
      <c r="D91" s="152"/>
      <c r="E91" s="129" t="s">
        <v>1322</v>
      </c>
      <c r="F91" s="41">
        <v>5782</v>
      </c>
      <c r="G91" s="41"/>
      <c r="H91" s="152">
        <f>G91/F91</f>
        <v>0</v>
      </c>
    </row>
    <row r="92" s="106" customFormat="1" ht="20.1" customHeight="1" spans="1:8">
      <c r="A92" s="162" t="s">
        <v>1254</v>
      </c>
      <c r="B92" s="41">
        <v>26937</v>
      </c>
      <c r="C92" s="41"/>
      <c r="D92" s="152"/>
      <c r="E92" s="129" t="s">
        <v>1323</v>
      </c>
      <c r="F92" s="41"/>
      <c r="G92" s="41"/>
      <c r="H92" s="152"/>
    </row>
    <row r="93" s="106" customFormat="1" ht="20.1" customHeight="1" spans="1:8">
      <c r="A93" s="162" t="s">
        <v>1255</v>
      </c>
      <c r="B93" s="41"/>
      <c r="C93" s="41"/>
      <c r="D93" s="152"/>
      <c r="E93" s="129" t="s">
        <v>1324</v>
      </c>
      <c r="F93" s="41"/>
      <c r="G93" s="41"/>
      <c r="H93" s="152"/>
    </row>
    <row r="94" s="106" customFormat="1" ht="20.1" customHeight="1" spans="1:8">
      <c r="A94" s="162" t="s">
        <v>1255</v>
      </c>
      <c r="B94" s="41"/>
      <c r="C94" s="41"/>
      <c r="D94" s="152"/>
      <c r="E94" s="41"/>
      <c r="F94" s="41"/>
      <c r="G94" s="41"/>
      <c r="H94" s="152"/>
    </row>
    <row r="95" s="106" customFormat="1" ht="20.1" customHeight="1" spans="1:8">
      <c r="A95" s="41"/>
      <c r="B95" s="41"/>
      <c r="C95" s="41"/>
      <c r="D95" s="152"/>
      <c r="E95" s="41"/>
      <c r="F95" s="41"/>
      <c r="G95" s="41"/>
      <c r="H95" s="152"/>
    </row>
    <row r="96" s="106" customFormat="1" ht="20.1" customHeight="1" spans="1:8">
      <c r="A96" s="42" t="s">
        <v>4942</v>
      </c>
      <c r="B96" s="41">
        <f>B82+B83+B87</f>
        <v>60377</v>
      </c>
      <c r="C96" s="41">
        <f>C82+C83+C87</f>
        <v>32074</v>
      </c>
      <c r="D96" s="152">
        <f>C96/B96</f>
        <v>0.5312</v>
      </c>
      <c r="E96" s="42" t="s">
        <v>1333</v>
      </c>
      <c r="F96" s="41">
        <f>F82+F83+F90</f>
        <v>60377</v>
      </c>
      <c r="G96" s="41">
        <f>G82+G83+G90</f>
        <v>32074</v>
      </c>
      <c r="H96" s="152">
        <f>G96/F96</f>
        <v>0.5312</v>
      </c>
    </row>
    <row r="97" s="140" customFormat="1" ht="20.1" customHeight="1" spans="8:8">
      <c r="H97" s="142"/>
    </row>
    <row r="98" s="140" customFormat="1" ht="20.1" customHeight="1" spans="8:8">
      <c r="H98" s="142"/>
    </row>
    <row r="99" s="140" customFormat="1" ht="20.1" customHeight="1" spans="8:8">
      <c r="H99" s="142"/>
    </row>
    <row r="100" s="140" customFormat="1" ht="20.1" customHeight="1" spans="8:8">
      <c r="H100" s="142"/>
    </row>
    <row r="101" s="140" customFormat="1" ht="20.1" customHeight="1" spans="8:8">
      <c r="H101" s="142"/>
    </row>
    <row r="102" s="140" customFormat="1" ht="20.1" customHeight="1" spans="8:8">
      <c r="H102" s="142"/>
    </row>
    <row r="103" s="140" customFormat="1" ht="20.1" customHeight="1" spans="8:8">
      <c r="H103" s="142"/>
    </row>
    <row r="104" s="140" customFormat="1" ht="20.1" customHeight="1" spans="8:8">
      <c r="H104" s="142"/>
    </row>
    <row r="105" s="140" customFormat="1" ht="20.1" customHeight="1" spans="8:8">
      <c r="H105" s="142"/>
    </row>
    <row r="106" s="140" customFormat="1" ht="20.1" customHeight="1" spans="8:8">
      <c r="H106" s="142"/>
    </row>
    <row r="107" s="140" customFormat="1" ht="20.1" customHeight="1" spans="8:8">
      <c r="H107" s="142"/>
    </row>
    <row r="108" s="140" customFormat="1" ht="20.1" customHeight="1" spans="8:8">
      <c r="H108" s="142"/>
    </row>
    <row r="109" s="140" customFormat="1" ht="20.1" customHeight="1" spans="8:8">
      <c r="H109" s="142"/>
    </row>
    <row r="110" s="140" customFormat="1" ht="20.1" customHeight="1" spans="8:8">
      <c r="H110" s="142"/>
    </row>
    <row r="111" s="140" customFormat="1" ht="20.1" customHeight="1" spans="8:8">
      <c r="H111" s="142"/>
    </row>
    <row r="112" s="140" customFormat="1" spans="8:8">
      <c r="H112" s="142"/>
    </row>
    <row r="113" s="140" customFormat="1" spans="8:8">
      <c r="H113" s="142"/>
    </row>
    <row r="114" s="140" customFormat="1" spans="8:8">
      <c r="H114" s="142"/>
    </row>
    <row r="115" s="140" customFormat="1" spans="8:8">
      <c r="H115" s="142"/>
    </row>
    <row r="116" s="140" customFormat="1" spans="8:8">
      <c r="H116" s="142"/>
    </row>
    <row r="117" s="140" customFormat="1" spans="8:8">
      <c r="H117" s="142"/>
    </row>
    <row r="118" s="140" customFormat="1" spans="8:8">
      <c r="H118" s="142"/>
    </row>
    <row r="119" s="140" customFormat="1" spans="8:8">
      <c r="H119" s="142"/>
    </row>
    <row r="120" s="140" customFormat="1" spans="8:8">
      <c r="H120" s="142"/>
    </row>
    <row r="121" s="140" customFormat="1" spans="8:8">
      <c r="H121" s="142"/>
    </row>
    <row r="122" s="140" customFormat="1" spans="8:8">
      <c r="H122" s="142"/>
    </row>
    <row r="123" s="140" customFormat="1" spans="8:8">
      <c r="H123" s="142"/>
    </row>
    <row r="124" s="140" customFormat="1" spans="8:8">
      <c r="H124" s="142"/>
    </row>
    <row r="125" s="140" customFormat="1" spans="8:8">
      <c r="H125" s="142"/>
    </row>
    <row r="126" s="140" customFormat="1" spans="8:8">
      <c r="H126" s="142"/>
    </row>
    <row r="127" s="140" customFormat="1" spans="8:8">
      <c r="H127" s="142"/>
    </row>
    <row r="128" s="140" customFormat="1" spans="8:8">
      <c r="H128" s="142"/>
    </row>
    <row r="129" s="140" customFormat="1" spans="8:8">
      <c r="H129" s="142"/>
    </row>
    <row r="130" s="140" customFormat="1" spans="8:8">
      <c r="H130" s="142"/>
    </row>
    <row r="131" s="140" customFormat="1" spans="8:8">
      <c r="H131" s="142"/>
    </row>
    <row r="132" s="140" customFormat="1" spans="8:8">
      <c r="H132" s="142"/>
    </row>
    <row r="133" s="140" customFormat="1" spans="8:8">
      <c r="H133" s="142"/>
    </row>
    <row r="134" s="140" customFormat="1" spans="8:8">
      <c r="H134" s="142"/>
    </row>
    <row r="135" s="140" customFormat="1" spans="8:8">
      <c r="H135" s="142"/>
    </row>
    <row r="136" s="140" customFormat="1" spans="8:8">
      <c r="H136" s="142"/>
    </row>
    <row r="137" s="140" customFormat="1" spans="8:8">
      <c r="H137" s="142"/>
    </row>
    <row r="138" s="140" customFormat="1" spans="8:8">
      <c r="H138" s="142"/>
    </row>
    <row r="139" s="140" customFormat="1" spans="8:8">
      <c r="H139" s="142"/>
    </row>
    <row r="140" s="140" customFormat="1" spans="8:8">
      <c r="H140" s="142"/>
    </row>
    <row r="141" s="140" customFormat="1" spans="8:8">
      <c r="H141" s="142"/>
    </row>
    <row r="142" s="140" customFormat="1" spans="8:8">
      <c r="H142" s="142"/>
    </row>
    <row r="143" s="140" customFormat="1" spans="8:8">
      <c r="H143" s="142"/>
    </row>
    <row r="144" s="140" customFormat="1" spans="8:8">
      <c r="H144" s="142"/>
    </row>
    <row r="145" s="140" customFormat="1" spans="8:8">
      <c r="H145" s="142"/>
    </row>
    <row r="146" s="140" customFormat="1" spans="8:8">
      <c r="H146" s="142"/>
    </row>
    <row r="147" s="140" customFormat="1" spans="8:8">
      <c r="H147" s="142"/>
    </row>
    <row r="148" s="140" customFormat="1" spans="8:8">
      <c r="H148" s="142"/>
    </row>
    <row r="149" s="140" customFormat="1" spans="8:8">
      <c r="H149" s="142"/>
    </row>
    <row r="150" s="140" customFormat="1" spans="8:8">
      <c r="H150" s="142"/>
    </row>
    <row r="151" s="140" customFormat="1" spans="8:8">
      <c r="H151" s="142"/>
    </row>
    <row r="152" s="140" customFormat="1" spans="8:8">
      <c r="H152" s="142"/>
    </row>
    <row r="153" s="140" customFormat="1" spans="8:8">
      <c r="H153" s="142"/>
    </row>
    <row r="154" s="140" customFormat="1" spans="8:8">
      <c r="H154" s="142"/>
    </row>
    <row r="155" s="140" customFormat="1" spans="8:8">
      <c r="H155" s="142"/>
    </row>
    <row r="156" s="140" customFormat="1" spans="8:8">
      <c r="H156" s="142"/>
    </row>
    <row r="157" s="140" customFormat="1" spans="8:8">
      <c r="H157" s="142"/>
    </row>
    <row r="158" s="140" customFormat="1" spans="8:8">
      <c r="H158" s="142"/>
    </row>
    <row r="159" s="140" customFormat="1" spans="8:8">
      <c r="H159" s="142"/>
    </row>
    <row r="160" s="140" customFormat="1" spans="8:8">
      <c r="H160" s="142"/>
    </row>
    <row r="161" s="140" customFormat="1" spans="8:8">
      <c r="H161" s="142"/>
    </row>
    <row r="162" s="140" customFormat="1" spans="8:8">
      <c r="H162" s="142"/>
    </row>
    <row r="163" s="140" customFormat="1" spans="8:8">
      <c r="H163" s="142"/>
    </row>
    <row r="164" s="140" customFormat="1" spans="8:8">
      <c r="H164" s="142"/>
    </row>
    <row r="165" s="140" customFormat="1" spans="8:8">
      <c r="H165" s="142"/>
    </row>
    <row r="166" s="140" customFormat="1" spans="8:8">
      <c r="H166" s="142"/>
    </row>
    <row r="167" s="140" customFormat="1" spans="8:8">
      <c r="H167" s="142"/>
    </row>
    <row r="168" s="140" customFormat="1" spans="8:8">
      <c r="H168" s="142"/>
    </row>
    <row r="169" s="140" customFormat="1" spans="8:8">
      <c r="H169" s="142"/>
    </row>
    <row r="170" s="140" customFormat="1" spans="8:8">
      <c r="H170" s="142"/>
    </row>
    <row r="171" s="140" customFormat="1" spans="8:8">
      <c r="H171" s="142"/>
    </row>
    <row r="172" s="140" customFormat="1" spans="8:8">
      <c r="H172" s="142"/>
    </row>
    <row r="173" s="140" customFormat="1" spans="8:8">
      <c r="H173" s="142"/>
    </row>
    <row r="174" s="140" customFormat="1" spans="8:8">
      <c r="H174" s="142"/>
    </row>
    <row r="175" s="140" customFormat="1" spans="8:8">
      <c r="H175" s="142"/>
    </row>
    <row r="176" s="140" customFormat="1" spans="8:8">
      <c r="H176" s="142"/>
    </row>
    <row r="177" s="140" customFormat="1" spans="8:8">
      <c r="H177" s="142"/>
    </row>
    <row r="178" s="140" customFormat="1" spans="8:8">
      <c r="H178" s="142"/>
    </row>
    <row r="179" s="140" customFormat="1" spans="8:8">
      <c r="H179" s="142"/>
    </row>
    <row r="180" s="140" customFormat="1" spans="8:8">
      <c r="H180" s="142"/>
    </row>
    <row r="181" s="140" customFormat="1" spans="8:8">
      <c r="H181" s="142"/>
    </row>
    <row r="182" s="140" customFormat="1" spans="8:8">
      <c r="H182" s="142"/>
    </row>
    <row r="183" s="140" customFormat="1" spans="8:8">
      <c r="H183" s="142"/>
    </row>
    <row r="184" s="140" customFormat="1" spans="8:8">
      <c r="H184" s="142"/>
    </row>
    <row r="185" s="140" customFormat="1" spans="8:8">
      <c r="H185" s="142"/>
    </row>
    <row r="186" s="140" customFormat="1" spans="8:8">
      <c r="H186" s="142"/>
    </row>
    <row r="187" s="140" customFormat="1" spans="8:8">
      <c r="H187" s="142"/>
    </row>
    <row r="188" s="140" customFormat="1" spans="8:8">
      <c r="H188" s="142"/>
    </row>
    <row r="189" s="140" customFormat="1" spans="8:8">
      <c r="H189" s="142"/>
    </row>
    <row r="190" s="140" customFormat="1" spans="8:8">
      <c r="H190" s="142"/>
    </row>
    <row r="191" s="140" customFormat="1" spans="8:8">
      <c r="H191" s="142"/>
    </row>
    <row r="192" s="140" customFormat="1" spans="8:8">
      <c r="H192" s="142"/>
    </row>
    <row r="193" s="140" customFormat="1" spans="8:8">
      <c r="H193" s="142"/>
    </row>
    <row r="194" s="140" customFormat="1" spans="8:8">
      <c r="H194" s="142"/>
    </row>
    <row r="195" s="140" customFormat="1" spans="8:8">
      <c r="H195" s="142"/>
    </row>
    <row r="196" s="140" customFormat="1" spans="8:8">
      <c r="H196" s="142"/>
    </row>
    <row r="197" s="140" customFormat="1" spans="8:8">
      <c r="H197" s="142"/>
    </row>
    <row r="198" s="140" customFormat="1" spans="8:8">
      <c r="H198" s="142"/>
    </row>
    <row r="199" s="140" customFormat="1" spans="8:8">
      <c r="H199" s="142"/>
    </row>
    <row r="200" s="140" customFormat="1" spans="8:8">
      <c r="H200" s="142"/>
    </row>
    <row r="201" s="140" customFormat="1" spans="8:8">
      <c r="H201" s="142"/>
    </row>
    <row r="202" s="140" customFormat="1" spans="8:8">
      <c r="H202" s="142"/>
    </row>
    <row r="203" s="140" customFormat="1" spans="8:8">
      <c r="H203" s="142"/>
    </row>
    <row r="204" s="140" customFormat="1" spans="8:8">
      <c r="H204" s="142"/>
    </row>
    <row r="205" s="140" customFormat="1" spans="8:8">
      <c r="H205" s="142"/>
    </row>
    <row r="206" s="140" customFormat="1" spans="8:8">
      <c r="H206" s="142"/>
    </row>
    <row r="207" s="140" customFormat="1" spans="8:8">
      <c r="H207" s="142"/>
    </row>
    <row r="208" s="140" customFormat="1" spans="8:8">
      <c r="H208" s="142"/>
    </row>
    <row r="209" s="140" customFormat="1" spans="8:8">
      <c r="H209" s="142"/>
    </row>
    <row r="210" s="140" customFormat="1" spans="8:8">
      <c r="H210" s="142"/>
    </row>
    <row r="211" s="140" customFormat="1" spans="8:8">
      <c r="H211" s="142"/>
    </row>
    <row r="212" s="140" customFormat="1" spans="8:8">
      <c r="H212" s="142"/>
    </row>
    <row r="213" s="140" customFormat="1" spans="8:8">
      <c r="H213" s="142"/>
    </row>
    <row r="214" s="140" customFormat="1" spans="8:8">
      <c r="H214" s="142"/>
    </row>
    <row r="215" s="140" customFormat="1" spans="8:8">
      <c r="H215" s="142"/>
    </row>
    <row r="216" s="140" customFormat="1" spans="8:8">
      <c r="H216" s="142"/>
    </row>
    <row r="217" s="140" customFormat="1" spans="8:8">
      <c r="H217" s="142"/>
    </row>
    <row r="218" s="140" customFormat="1" spans="8:8">
      <c r="H218" s="142"/>
    </row>
    <row r="219" s="140" customFormat="1" spans="8:8">
      <c r="H219" s="142"/>
    </row>
    <row r="220" s="140" customFormat="1" spans="8:8">
      <c r="H220" s="142"/>
    </row>
    <row r="221" s="140" customFormat="1" spans="8:8">
      <c r="H221" s="142"/>
    </row>
    <row r="222" s="140" customFormat="1" spans="8:8">
      <c r="H222" s="142"/>
    </row>
    <row r="223" s="140" customFormat="1" spans="8:8">
      <c r="H223" s="142"/>
    </row>
    <row r="224" s="140" customFormat="1" spans="8:8">
      <c r="H224" s="142"/>
    </row>
    <row r="225" s="140" customFormat="1" spans="8:8">
      <c r="H225" s="142"/>
    </row>
    <row r="226" s="140" customFormat="1" spans="8:8">
      <c r="H226" s="142"/>
    </row>
    <row r="227" s="140" customFormat="1" spans="8:8">
      <c r="H227" s="142"/>
    </row>
  </sheetData>
  <autoFilter xmlns:etc="http://www.wps.cn/officeDocument/2017/etCustomData" ref="A3:I227" etc:filterBottomFollowUsedRange="0">
    <extLst/>
  </autoFilter>
  <mergeCells count="3">
    <mergeCell ref="A1:H1"/>
    <mergeCell ref="A3:D3"/>
    <mergeCell ref="E3:H3"/>
  </mergeCells>
  <printOptions horizontalCentered="1" verticalCentered="1"/>
  <pageMargins left="0.708661417322835" right="0.708661417322835" top="0.551181102362205" bottom="0.748031496062992" header="0.31496062992126" footer="0.31496062992126"/>
  <pageSetup paperSize="9" scale="90" orientation="landscape" blackAndWhite="1"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3"/>
  <sheetViews>
    <sheetView workbookViewId="0">
      <selection activeCell="K22" sqref="K22"/>
    </sheetView>
  </sheetViews>
  <sheetFormatPr defaultColWidth="9" defaultRowHeight="15.75" outlineLevelCol="7"/>
  <cols>
    <col min="1" max="1" width="36.5" style="140" customWidth="1"/>
    <col min="2" max="2" width="10.5" style="140" customWidth="1"/>
    <col min="3" max="3" width="8.625" style="140" customWidth="1"/>
    <col min="4" max="4" width="11.5" style="140" customWidth="1"/>
    <col min="5" max="5" width="51.875" style="140" customWidth="1"/>
    <col min="6" max="6" width="10.375" style="140" customWidth="1"/>
    <col min="7" max="7" width="9.375" style="140" customWidth="1"/>
    <col min="8" max="8" width="12" style="142" customWidth="1"/>
    <col min="9" max="16384" width="9" style="140"/>
  </cols>
  <sheetData>
    <row r="1" s="140" customFormat="1" ht="18" customHeight="1" spans="1:8">
      <c r="A1" s="698" t="s">
        <v>4974</v>
      </c>
      <c r="B1" s="120"/>
      <c r="C1" s="120"/>
      <c r="D1" s="120"/>
      <c r="E1" s="120"/>
      <c r="F1" s="120"/>
      <c r="G1" s="120"/>
      <c r="H1" s="154"/>
    </row>
    <row r="2" s="140" customFormat="1" ht="18" customHeight="1" spans="1:8">
      <c r="A2" s="143"/>
      <c r="H2" s="155" t="s">
        <v>4533</v>
      </c>
    </row>
    <row r="3" s="140" customFormat="1" ht="24.75" customHeight="1" spans="1:8">
      <c r="A3" s="144" t="s">
        <v>4896</v>
      </c>
      <c r="B3" s="145"/>
      <c r="C3" s="145"/>
      <c r="D3" s="146"/>
      <c r="E3" s="144" t="s">
        <v>4944</v>
      </c>
      <c r="F3" s="145"/>
      <c r="G3" s="145"/>
      <c r="H3" s="156"/>
    </row>
    <row r="4" s="106" customFormat="1" ht="35.25" customHeight="1" spans="1:8">
      <c r="A4" s="42" t="s">
        <v>89</v>
      </c>
      <c r="B4" s="147" t="s">
        <v>4897</v>
      </c>
      <c r="C4" s="147" t="s">
        <v>4898</v>
      </c>
      <c r="D4" s="147" t="s">
        <v>1455</v>
      </c>
      <c r="E4" s="42" t="s">
        <v>89</v>
      </c>
      <c r="F4" s="147" t="s">
        <v>4897</v>
      </c>
      <c r="G4" s="147" t="s">
        <v>4898</v>
      </c>
      <c r="H4" s="157" t="s">
        <v>1455</v>
      </c>
    </row>
    <row r="5" s="141" customFormat="1" ht="20.1" customHeight="1" spans="1:8">
      <c r="A5" s="148" t="s">
        <v>897</v>
      </c>
      <c r="B5" s="149">
        <f>SUM(B6:B34)</f>
        <v>11294</v>
      </c>
      <c r="C5" s="149">
        <f>SUM(C6:C34)</f>
        <v>10780</v>
      </c>
      <c r="D5" s="150">
        <f>C5/B5</f>
        <v>0.9545</v>
      </c>
      <c r="E5" s="127" t="s">
        <v>898</v>
      </c>
      <c r="F5" s="158">
        <f>SUM(F6)</f>
        <v>0</v>
      </c>
      <c r="G5" s="158">
        <f>SUM(G6)</f>
        <v>0</v>
      </c>
      <c r="H5" s="150"/>
    </row>
    <row r="6" s="141" customFormat="1" ht="20.1" customHeight="1" spans="1:8">
      <c r="A6" s="151" t="s">
        <v>4899</v>
      </c>
      <c r="B6" s="41"/>
      <c r="C6" s="41"/>
      <c r="D6" s="152"/>
      <c r="E6" s="129" t="s">
        <v>1267</v>
      </c>
      <c r="F6" s="41"/>
      <c r="G6" s="41"/>
      <c r="H6" s="152"/>
    </row>
    <row r="7" s="141" customFormat="1" ht="20.1" customHeight="1" spans="1:8">
      <c r="A7" s="151" t="s">
        <v>4900</v>
      </c>
      <c r="B7" s="41"/>
      <c r="C7" s="41"/>
      <c r="D7" s="152"/>
      <c r="E7" s="127" t="s">
        <v>915</v>
      </c>
      <c r="F7" s="149">
        <f>F8+F9</f>
        <v>0</v>
      </c>
      <c r="G7" s="149">
        <f>G8+G9</f>
        <v>0</v>
      </c>
      <c r="H7" s="150"/>
    </row>
    <row r="8" s="141" customFormat="1" ht="20.1" customHeight="1" spans="1:8">
      <c r="A8" s="151" t="s">
        <v>4901</v>
      </c>
      <c r="B8" s="41"/>
      <c r="C8" s="41"/>
      <c r="D8" s="152"/>
      <c r="E8" s="130" t="s">
        <v>1268</v>
      </c>
      <c r="F8" s="41"/>
      <c r="G8" s="41"/>
      <c r="H8" s="152"/>
    </row>
    <row r="9" s="141" customFormat="1" ht="20.1" customHeight="1" spans="1:8">
      <c r="A9" s="151" t="s">
        <v>4902</v>
      </c>
      <c r="B9" s="41"/>
      <c r="C9" s="41"/>
      <c r="D9" s="152"/>
      <c r="E9" s="129" t="s">
        <v>1267</v>
      </c>
      <c r="F9" s="41"/>
      <c r="G9" s="41"/>
      <c r="H9" s="152"/>
    </row>
    <row r="10" s="141" customFormat="1" ht="20.1" customHeight="1" spans="1:8">
      <c r="A10" s="151" t="s">
        <v>4903</v>
      </c>
      <c r="B10" s="41"/>
      <c r="C10" s="41"/>
      <c r="D10" s="152"/>
      <c r="E10" s="127" t="s">
        <v>941</v>
      </c>
      <c r="F10" s="149">
        <f>SUM(F11:F14)</f>
        <v>9</v>
      </c>
      <c r="G10" s="149">
        <f>SUM(G11:G14)</f>
        <v>50</v>
      </c>
      <c r="H10" s="150">
        <f>G10/F10</f>
        <v>5.5556</v>
      </c>
    </row>
    <row r="11" s="141" customFormat="1" ht="20.1" customHeight="1" spans="1:8">
      <c r="A11" s="151" t="s">
        <v>4904</v>
      </c>
      <c r="B11" s="41"/>
      <c r="C11" s="41"/>
      <c r="D11" s="152"/>
      <c r="E11" s="130" t="s">
        <v>1269</v>
      </c>
      <c r="F11" s="41">
        <v>9</v>
      </c>
      <c r="G11" s="41"/>
      <c r="H11" s="152">
        <f>G11/F11</f>
        <v>0</v>
      </c>
    </row>
    <row r="12" s="141" customFormat="1" ht="20.1" customHeight="1" spans="1:8">
      <c r="A12" s="151" t="s">
        <v>4905</v>
      </c>
      <c r="B12" s="41"/>
      <c r="C12" s="41"/>
      <c r="D12" s="152"/>
      <c r="E12" s="130" t="s">
        <v>1270</v>
      </c>
      <c r="F12" s="41"/>
      <c r="G12" s="41">
        <v>50</v>
      </c>
      <c r="H12" s="152"/>
    </row>
    <row r="13" s="141" customFormat="1" ht="20.1" customHeight="1" spans="1:8">
      <c r="A13" s="151" t="s">
        <v>4906</v>
      </c>
      <c r="B13" s="41"/>
      <c r="C13" s="41"/>
      <c r="D13" s="152"/>
      <c r="E13" s="130" t="s">
        <v>1271</v>
      </c>
      <c r="F13" s="41"/>
      <c r="G13" s="41"/>
      <c r="H13" s="152"/>
    </row>
    <row r="14" s="141" customFormat="1" ht="20.1" customHeight="1" spans="1:8">
      <c r="A14" s="151" t="s">
        <v>4907</v>
      </c>
      <c r="B14" s="41">
        <v>10630</v>
      </c>
      <c r="C14" s="41">
        <v>10000</v>
      </c>
      <c r="D14" s="152">
        <f>C14/B14</f>
        <v>0.9407</v>
      </c>
      <c r="E14" s="129" t="s">
        <v>1267</v>
      </c>
      <c r="F14" s="41"/>
      <c r="G14" s="41"/>
      <c r="H14" s="152"/>
    </row>
    <row r="15" s="141" customFormat="1" ht="20.1" customHeight="1" spans="1:8">
      <c r="A15" s="151" t="s">
        <v>4908</v>
      </c>
      <c r="B15" s="41"/>
      <c r="C15" s="41"/>
      <c r="D15" s="152"/>
      <c r="E15" s="127" t="s">
        <v>1272</v>
      </c>
      <c r="F15" s="149">
        <f>SUM(F16)</f>
        <v>0</v>
      </c>
      <c r="G15" s="149">
        <f>SUM(G16)</f>
        <v>0</v>
      </c>
      <c r="H15" s="150"/>
    </row>
    <row r="16" s="141" customFormat="1" ht="20.1" customHeight="1" spans="1:8">
      <c r="A16" s="151" t="s">
        <v>4909</v>
      </c>
      <c r="B16" s="41"/>
      <c r="C16" s="41"/>
      <c r="D16" s="152"/>
      <c r="E16" s="129" t="s">
        <v>1267</v>
      </c>
      <c r="F16" s="41"/>
      <c r="G16" s="41"/>
      <c r="H16" s="152"/>
    </row>
    <row r="17" s="141" customFormat="1" ht="20.1" customHeight="1" spans="1:8">
      <c r="A17" s="151" t="s">
        <v>4910</v>
      </c>
      <c r="B17" s="41"/>
      <c r="C17" s="41"/>
      <c r="D17" s="152"/>
      <c r="E17" s="127" t="s">
        <v>1273</v>
      </c>
      <c r="F17" s="149">
        <f>SUM(F18:F20)</f>
        <v>0</v>
      </c>
      <c r="G17" s="149">
        <f>SUM(G18:G20)</f>
        <v>0</v>
      </c>
      <c r="H17" s="150"/>
    </row>
    <row r="18" s="141" customFormat="1" ht="20.1" customHeight="1" spans="1:8">
      <c r="A18" s="151" t="s">
        <v>4911</v>
      </c>
      <c r="B18" s="41"/>
      <c r="C18" s="41"/>
      <c r="D18" s="152"/>
      <c r="E18" s="129" t="s">
        <v>1274</v>
      </c>
      <c r="F18" s="41"/>
      <c r="G18" s="41"/>
      <c r="H18" s="152"/>
    </row>
    <row r="19" s="141" customFormat="1" ht="20.1" customHeight="1" spans="1:8">
      <c r="A19" s="151" t="s">
        <v>4912</v>
      </c>
      <c r="B19" s="41"/>
      <c r="C19" s="41"/>
      <c r="D19" s="152"/>
      <c r="E19" s="129" t="s">
        <v>1275</v>
      </c>
      <c r="F19" s="41"/>
      <c r="G19" s="41"/>
      <c r="H19" s="152"/>
    </row>
    <row r="20" s="141" customFormat="1" ht="20.1" customHeight="1" spans="1:8">
      <c r="A20" s="151" t="s">
        <v>4913</v>
      </c>
      <c r="B20" s="41"/>
      <c r="C20" s="41"/>
      <c r="D20" s="152"/>
      <c r="E20" s="129" t="s">
        <v>1267</v>
      </c>
      <c r="F20" s="41"/>
      <c r="G20" s="41"/>
      <c r="H20" s="152"/>
    </row>
    <row r="21" s="141" customFormat="1" ht="20.1" customHeight="1" spans="1:8">
      <c r="A21" s="151" t="s">
        <v>4914</v>
      </c>
      <c r="B21" s="41">
        <v>217</v>
      </c>
      <c r="C21" s="41">
        <v>80</v>
      </c>
      <c r="D21" s="152">
        <f>C21/B21</f>
        <v>0.3687</v>
      </c>
      <c r="E21" s="127" t="s">
        <v>1276</v>
      </c>
      <c r="F21" s="149">
        <f>SUM(F22:F32)</f>
        <v>30405</v>
      </c>
      <c r="G21" s="149">
        <f>SUM(G22:G32)</f>
        <v>19533</v>
      </c>
      <c r="H21" s="150">
        <f t="shared" ref="H21:H26" si="0">G21/F21</f>
        <v>0.6424</v>
      </c>
    </row>
    <row r="22" s="141" customFormat="1" ht="20.1" customHeight="1" spans="1:8">
      <c r="A22" s="151" t="s">
        <v>4915</v>
      </c>
      <c r="B22" s="41"/>
      <c r="C22" s="41"/>
      <c r="D22" s="152"/>
      <c r="E22" s="129" t="s">
        <v>1277</v>
      </c>
      <c r="F22" s="41">
        <v>7519</v>
      </c>
      <c r="G22" s="41">
        <f>17426+500</f>
        <v>17926</v>
      </c>
      <c r="H22" s="152">
        <f t="shared" si="0"/>
        <v>2.3841</v>
      </c>
    </row>
    <row r="23" s="106" customFormat="1" ht="20.1" customHeight="1" spans="1:8">
      <c r="A23" s="151" t="s">
        <v>4916</v>
      </c>
      <c r="B23" s="41"/>
      <c r="C23" s="41"/>
      <c r="D23" s="152"/>
      <c r="E23" s="129" t="s">
        <v>1278</v>
      </c>
      <c r="F23" s="41"/>
      <c r="G23" s="41"/>
      <c r="H23" s="152"/>
    </row>
    <row r="24" s="106" customFormat="1" ht="20.1" customHeight="1" spans="1:8">
      <c r="A24" s="151" t="s">
        <v>4917</v>
      </c>
      <c r="B24" s="41"/>
      <c r="C24" s="41"/>
      <c r="D24" s="152"/>
      <c r="E24" s="129" t="s">
        <v>1279</v>
      </c>
      <c r="F24" s="41"/>
      <c r="G24" s="41">
        <v>262</v>
      </c>
      <c r="H24" s="152"/>
    </row>
    <row r="25" s="106" customFormat="1" ht="20.1" customHeight="1" spans="1:8">
      <c r="A25" s="151" t="s">
        <v>4918</v>
      </c>
      <c r="B25" s="41"/>
      <c r="C25" s="41"/>
      <c r="D25" s="152"/>
      <c r="E25" s="129" t="s">
        <v>1280</v>
      </c>
      <c r="F25" s="41">
        <v>150</v>
      </c>
      <c r="G25" s="41">
        <v>183</v>
      </c>
      <c r="H25" s="152">
        <f t="shared" si="0"/>
        <v>1.22</v>
      </c>
    </row>
    <row r="26" s="106" customFormat="1" ht="20.1" customHeight="1" spans="1:8">
      <c r="A26" s="151" t="s">
        <v>4919</v>
      </c>
      <c r="B26" s="41"/>
      <c r="C26" s="41"/>
      <c r="D26" s="152"/>
      <c r="E26" s="129" t="s">
        <v>1281</v>
      </c>
      <c r="F26" s="41">
        <v>581</v>
      </c>
      <c r="G26" s="41">
        <v>1162</v>
      </c>
      <c r="H26" s="152">
        <f t="shared" si="0"/>
        <v>2</v>
      </c>
    </row>
    <row r="27" s="106" customFormat="1" ht="20.1" customHeight="1" spans="1:8">
      <c r="A27" s="151" t="s">
        <v>4920</v>
      </c>
      <c r="B27" s="41"/>
      <c r="C27" s="41"/>
      <c r="D27" s="152"/>
      <c r="E27" s="129" t="s">
        <v>1282</v>
      </c>
      <c r="F27" s="41"/>
      <c r="G27" s="41"/>
      <c r="H27" s="152"/>
    </row>
    <row r="28" s="106" customFormat="1" ht="20.1" customHeight="1" spans="1:8">
      <c r="A28" s="151" t="s">
        <v>4921</v>
      </c>
      <c r="B28" s="41"/>
      <c r="C28" s="41"/>
      <c r="D28" s="152"/>
      <c r="E28" s="129" t="s">
        <v>1283</v>
      </c>
      <c r="F28" s="41"/>
      <c r="G28" s="41"/>
      <c r="H28" s="152"/>
    </row>
    <row r="29" s="106" customFormat="1" ht="20.1" customHeight="1" spans="1:8">
      <c r="A29" s="151" t="s">
        <v>4922</v>
      </c>
      <c r="B29" s="41">
        <v>447</v>
      </c>
      <c r="C29" s="41">
        <v>700</v>
      </c>
      <c r="D29" s="152"/>
      <c r="E29" s="129" t="s">
        <v>1284</v>
      </c>
      <c r="F29" s="41"/>
      <c r="G29" s="41"/>
      <c r="H29" s="152"/>
    </row>
    <row r="30" s="106" customFormat="1" ht="20.1" customHeight="1" spans="1:8">
      <c r="A30" s="151" t="s">
        <v>4923</v>
      </c>
      <c r="B30" s="41"/>
      <c r="C30" s="41"/>
      <c r="D30" s="152"/>
      <c r="E30" s="129" t="s">
        <v>1285</v>
      </c>
      <c r="F30" s="41"/>
      <c r="G30" s="41"/>
      <c r="H30" s="152"/>
    </row>
    <row r="31" s="106" customFormat="1" ht="20.1" customHeight="1" spans="1:8">
      <c r="A31" s="151" t="s">
        <v>4924</v>
      </c>
      <c r="B31" s="41"/>
      <c r="C31" s="41"/>
      <c r="D31" s="152"/>
      <c r="E31" s="129" t="s">
        <v>1286</v>
      </c>
      <c r="F31" s="41">
        <v>22155</v>
      </c>
      <c r="G31" s="41"/>
      <c r="H31" s="152">
        <f t="shared" ref="H31:H34" si="1">G31/F31</f>
        <v>0</v>
      </c>
    </row>
    <row r="32" s="106" customFormat="1" ht="20.1" customHeight="1" spans="1:8">
      <c r="A32" s="151" t="s">
        <v>4925</v>
      </c>
      <c r="B32" s="41"/>
      <c r="C32" s="41"/>
      <c r="D32" s="152"/>
      <c r="E32" s="129" t="s">
        <v>1267</v>
      </c>
      <c r="F32" s="41"/>
      <c r="G32" s="41"/>
      <c r="H32" s="152"/>
    </row>
    <row r="33" s="106" customFormat="1" ht="20.1" customHeight="1" spans="1:8">
      <c r="A33" s="151" t="s">
        <v>4926</v>
      </c>
      <c r="B33" s="41"/>
      <c r="C33" s="41"/>
      <c r="D33" s="152"/>
      <c r="E33" s="127" t="s">
        <v>1287</v>
      </c>
      <c r="F33" s="149">
        <f>SUM(F34:F42)</f>
        <v>820</v>
      </c>
      <c r="G33" s="149">
        <f>SUM(G34:G42)</f>
        <v>7790</v>
      </c>
      <c r="H33" s="150">
        <f t="shared" si="1"/>
        <v>9.5</v>
      </c>
    </row>
    <row r="34" s="106" customFormat="1" ht="20.1" customHeight="1" spans="1:8">
      <c r="A34" s="151" t="s">
        <v>4927</v>
      </c>
      <c r="B34" s="41"/>
      <c r="C34" s="41"/>
      <c r="D34" s="152"/>
      <c r="E34" s="129" t="s">
        <v>1288</v>
      </c>
      <c r="F34" s="41">
        <v>10</v>
      </c>
      <c r="G34" s="41">
        <v>1081</v>
      </c>
      <c r="H34" s="152">
        <f t="shared" si="1"/>
        <v>108.1</v>
      </c>
    </row>
    <row r="35" s="106" customFormat="1" ht="19.9" customHeight="1" spans="1:8">
      <c r="A35" s="148" t="s">
        <v>993</v>
      </c>
      <c r="B35" s="149">
        <f>SUM(B36:B46)</f>
        <v>1630</v>
      </c>
      <c r="C35" s="149">
        <f>SUM(C36:C46)</f>
        <v>786</v>
      </c>
      <c r="D35" s="150">
        <f>C35/B35</f>
        <v>0.4822</v>
      </c>
      <c r="E35" s="129" t="s">
        <v>1289</v>
      </c>
      <c r="F35" s="41"/>
      <c r="G35" s="41"/>
      <c r="H35" s="152"/>
    </row>
    <row r="36" s="106" customFormat="1" ht="20.1" customHeight="1" spans="1:8">
      <c r="A36" s="151" t="s">
        <v>4928</v>
      </c>
      <c r="B36" s="41"/>
      <c r="C36" s="41"/>
      <c r="D36" s="152"/>
      <c r="E36" s="129" t="s">
        <v>1290</v>
      </c>
      <c r="F36" s="41">
        <v>7</v>
      </c>
      <c r="G36" s="41">
        <v>227</v>
      </c>
      <c r="H36" s="152">
        <f t="shared" ref="H36:H40" si="2">G36/F36</f>
        <v>32.4286</v>
      </c>
    </row>
    <row r="37" s="107" customFormat="1" ht="20.1" customHeight="1" spans="1:8">
      <c r="A37" s="151" t="s">
        <v>4929</v>
      </c>
      <c r="B37" s="41"/>
      <c r="C37" s="41"/>
      <c r="D37" s="152"/>
      <c r="E37" s="129" t="s">
        <v>1291</v>
      </c>
      <c r="F37" s="41"/>
      <c r="G37" s="41"/>
      <c r="H37" s="152"/>
    </row>
    <row r="38" s="106" customFormat="1" ht="20.1" customHeight="1" spans="1:8">
      <c r="A38" s="151" t="s">
        <v>4930</v>
      </c>
      <c r="B38" s="41"/>
      <c r="C38" s="41"/>
      <c r="D38" s="152"/>
      <c r="E38" s="131" t="s">
        <v>1292</v>
      </c>
      <c r="F38" s="41"/>
      <c r="G38" s="41"/>
      <c r="H38" s="152"/>
    </row>
    <row r="39" s="106" customFormat="1" ht="20.1" customHeight="1" spans="1:8">
      <c r="A39" s="151" t="s">
        <v>4931</v>
      </c>
      <c r="B39" s="41"/>
      <c r="C39" s="41"/>
      <c r="D39" s="152"/>
      <c r="E39" s="131" t="s">
        <v>1293</v>
      </c>
      <c r="F39" s="41">
        <v>802</v>
      </c>
      <c r="G39" s="41">
        <v>6188</v>
      </c>
      <c r="H39" s="152">
        <f t="shared" si="2"/>
        <v>7.7157</v>
      </c>
    </row>
    <row r="40" s="106" customFormat="1" ht="20.1" customHeight="1" spans="1:8">
      <c r="A40" s="151" t="s">
        <v>4932</v>
      </c>
      <c r="B40" s="41"/>
      <c r="C40" s="41"/>
      <c r="D40" s="152"/>
      <c r="E40" s="131" t="s">
        <v>1294</v>
      </c>
      <c r="F40" s="41">
        <v>1</v>
      </c>
      <c r="G40" s="41">
        <v>294</v>
      </c>
      <c r="H40" s="152">
        <f t="shared" si="2"/>
        <v>294</v>
      </c>
    </row>
    <row r="41" s="106" customFormat="1" ht="20.1" customHeight="1" spans="1:8">
      <c r="A41" s="151" t="s">
        <v>4933</v>
      </c>
      <c r="B41" s="41"/>
      <c r="C41" s="41"/>
      <c r="D41" s="152"/>
      <c r="E41" s="131" t="s">
        <v>1295</v>
      </c>
      <c r="F41" s="41"/>
      <c r="G41" s="41"/>
      <c r="H41" s="152"/>
    </row>
    <row r="42" s="106" customFormat="1" ht="20.1" customHeight="1" spans="1:8">
      <c r="A42" s="151" t="s">
        <v>4934</v>
      </c>
      <c r="B42" s="41"/>
      <c r="C42" s="41"/>
      <c r="D42" s="152"/>
      <c r="E42" s="131" t="s">
        <v>1267</v>
      </c>
      <c r="F42" s="41"/>
      <c r="G42" s="41"/>
      <c r="H42" s="152"/>
    </row>
    <row r="43" s="106" customFormat="1" ht="20.1" customHeight="1" spans="1:8">
      <c r="A43" s="151" t="s">
        <v>4935</v>
      </c>
      <c r="B43" s="41"/>
      <c r="C43" s="41"/>
      <c r="D43" s="152"/>
      <c r="E43" s="127" t="s">
        <v>1296</v>
      </c>
      <c r="F43" s="149">
        <f>SUM(F44:F52)</f>
        <v>0</v>
      </c>
      <c r="G43" s="149">
        <f>SUM(G44:G52)</f>
        <v>0</v>
      </c>
      <c r="H43" s="150"/>
    </row>
    <row r="44" s="106" customFormat="1" ht="20.1" customHeight="1" spans="1:8">
      <c r="A44" s="151" t="s">
        <v>4936</v>
      </c>
      <c r="B44" s="41"/>
      <c r="C44" s="41"/>
      <c r="D44" s="152"/>
      <c r="E44" s="129" t="s">
        <v>1297</v>
      </c>
      <c r="F44" s="41"/>
      <c r="G44" s="41"/>
      <c r="H44" s="152"/>
    </row>
    <row r="45" s="106" customFormat="1" ht="20.1" customHeight="1" spans="1:8">
      <c r="A45" s="151" t="s">
        <v>4937</v>
      </c>
      <c r="B45" s="41"/>
      <c r="C45" s="41"/>
      <c r="D45" s="152"/>
      <c r="E45" s="129" t="s">
        <v>1298</v>
      </c>
      <c r="F45" s="41"/>
      <c r="G45" s="41"/>
      <c r="H45" s="152"/>
    </row>
    <row r="46" s="106" customFormat="1" ht="20.1" customHeight="1" spans="1:8">
      <c r="A46" s="151" t="s">
        <v>4938</v>
      </c>
      <c r="B46" s="41">
        <v>1630</v>
      </c>
      <c r="C46" s="41">
        <v>786</v>
      </c>
      <c r="D46" s="152">
        <f>C46/B46</f>
        <v>0.4822</v>
      </c>
      <c r="E46" s="129" t="s">
        <v>1299</v>
      </c>
      <c r="F46" s="41"/>
      <c r="G46" s="41"/>
      <c r="H46" s="152"/>
    </row>
    <row r="47" s="106" customFormat="1" ht="20.1" customHeight="1" spans="1:8">
      <c r="A47" s="153"/>
      <c r="B47" s="41"/>
      <c r="C47" s="41"/>
      <c r="D47" s="152"/>
      <c r="E47" s="129" t="s">
        <v>1300</v>
      </c>
      <c r="F47" s="41"/>
      <c r="G47" s="41"/>
      <c r="H47" s="152"/>
    </row>
    <row r="48" s="106" customFormat="1" ht="20.1" customHeight="1" spans="1:8">
      <c r="A48" s="153"/>
      <c r="B48" s="41"/>
      <c r="C48" s="41"/>
      <c r="D48" s="152"/>
      <c r="E48" s="129" t="s">
        <v>1301</v>
      </c>
      <c r="F48" s="41"/>
      <c r="G48" s="41"/>
      <c r="H48" s="152"/>
    </row>
    <row r="49" s="106" customFormat="1" ht="20.1" customHeight="1" spans="1:8">
      <c r="A49" s="153"/>
      <c r="B49" s="41"/>
      <c r="C49" s="41"/>
      <c r="D49" s="152"/>
      <c r="E49" s="129" t="s">
        <v>1302</v>
      </c>
      <c r="F49" s="41"/>
      <c r="G49" s="41"/>
      <c r="H49" s="152"/>
    </row>
    <row r="50" s="106" customFormat="1" ht="20.1" customHeight="1" spans="1:8">
      <c r="A50" s="153"/>
      <c r="B50" s="41"/>
      <c r="C50" s="41"/>
      <c r="D50" s="152"/>
      <c r="E50" s="129" t="s">
        <v>1303</v>
      </c>
      <c r="F50" s="41"/>
      <c r="G50" s="41"/>
      <c r="H50" s="152"/>
    </row>
    <row r="51" s="106" customFormat="1" ht="20.1" customHeight="1" spans="1:8">
      <c r="A51" s="153"/>
      <c r="B51" s="41"/>
      <c r="C51" s="41"/>
      <c r="D51" s="152"/>
      <c r="E51" s="129" t="s">
        <v>1304</v>
      </c>
      <c r="F51" s="41"/>
      <c r="G51" s="41"/>
      <c r="H51" s="152"/>
    </row>
    <row r="52" s="106" customFormat="1" ht="20.1" customHeight="1" spans="1:8">
      <c r="A52" s="153"/>
      <c r="B52" s="41"/>
      <c r="C52" s="41"/>
      <c r="D52" s="152"/>
      <c r="E52" s="129" t="s">
        <v>1267</v>
      </c>
      <c r="F52" s="41"/>
      <c r="G52" s="41"/>
      <c r="H52" s="152"/>
    </row>
    <row r="53" s="106" customFormat="1" ht="20.1" customHeight="1" spans="1:8">
      <c r="A53" s="153"/>
      <c r="B53" s="41"/>
      <c r="C53" s="41"/>
      <c r="D53" s="152"/>
      <c r="E53" s="127" t="s">
        <v>1305</v>
      </c>
      <c r="F53" s="149">
        <f>SUM(F54:F55)</f>
        <v>308</v>
      </c>
      <c r="G53" s="149">
        <f>SUM(G54:G55)</f>
        <v>97</v>
      </c>
      <c r="H53" s="150">
        <f>G53/F53</f>
        <v>0.3149</v>
      </c>
    </row>
    <row r="54" s="106" customFormat="1" ht="20.1" customHeight="1" spans="1:8">
      <c r="A54" s="153"/>
      <c r="B54" s="41"/>
      <c r="C54" s="41"/>
      <c r="D54" s="152"/>
      <c r="E54" s="129" t="s">
        <v>1306</v>
      </c>
      <c r="F54" s="41"/>
      <c r="G54" s="41"/>
      <c r="H54" s="152"/>
    </row>
    <row r="55" s="106" customFormat="1" ht="20.1" customHeight="1" spans="1:8">
      <c r="A55" s="153"/>
      <c r="B55" s="41"/>
      <c r="C55" s="41"/>
      <c r="D55" s="152"/>
      <c r="E55" s="129" t="s">
        <v>1267</v>
      </c>
      <c r="F55" s="41">
        <v>308</v>
      </c>
      <c r="G55" s="41">
        <v>97</v>
      </c>
      <c r="H55" s="152">
        <f>G55/F55</f>
        <v>0.3149</v>
      </c>
    </row>
    <row r="56" s="106" customFormat="1" ht="20.1" customHeight="1" spans="1:8">
      <c r="A56" s="153"/>
      <c r="B56" s="41"/>
      <c r="C56" s="41"/>
      <c r="D56" s="152"/>
      <c r="E56" s="127" t="s">
        <v>1307</v>
      </c>
      <c r="F56" s="149">
        <f t="shared" ref="F56:F60" si="3">SUM(F57)</f>
        <v>0</v>
      </c>
      <c r="G56" s="149">
        <f t="shared" ref="G56:G60" si="4">SUM(G57)</f>
        <v>0</v>
      </c>
      <c r="H56" s="150"/>
    </row>
    <row r="57" s="106" customFormat="1" ht="20.1" customHeight="1" spans="1:8">
      <c r="A57" s="153"/>
      <c r="B57" s="41"/>
      <c r="C57" s="41"/>
      <c r="D57" s="152"/>
      <c r="E57" s="129" t="s">
        <v>1308</v>
      </c>
      <c r="F57" s="41"/>
      <c r="G57" s="41"/>
      <c r="H57" s="152"/>
    </row>
    <row r="58" s="106" customFormat="1" ht="20.1" customHeight="1" spans="1:8">
      <c r="A58" s="153"/>
      <c r="B58" s="41"/>
      <c r="C58" s="41"/>
      <c r="D58" s="152"/>
      <c r="E58" s="127" t="s">
        <v>1309</v>
      </c>
      <c r="F58" s="149">
        <f t="shared" si="3"/>
        <v>0</v>
      </c>
      <c r="G58" s="149">
        <f t="shared" si="4"/>
        <v>0</v>
      </c>
      <c r="H58" s="150"/>
    </row>
    <row r="59" s="106" customFormat="1" ht="20.1" customHeight="1" spans="1:8">
      <c r="A59" s="153"/>
      <c r="B59" s="41"/>
      <c r="C59" s="41"/>
      <c r="D59" s="152"/>
      <c r="E59" s="129" t="s">
        <v>1310</v>
      </c>
      <c r="F59" s="41"/>
      <c r="G59" s="41"/>
      <c r="H59" s="152"/>
    </row>
    <row r="60" s="106" customFormat="1" ht="20.1" customHeight="1" spans="1:8">
      <c r="A60" s="153"/>
      <c r="B60" s="41"/>
      <c r="C60" s="41"/>
      <c r="D60" s="152"/>
      <c r="E60" s="127" t="s">
        <v>1311</v>
      </c>
      <c r="F60" s="149">
        <f t="shared" si="3"/>
        <v>0</v>
      </c>
      <c r="G60" s="149">
        <f t="shared" si="4"/>
        <v>0</v>
      </c>
      <c r="H60" s="150"/>
    </row>
    <row r="61" s="106" customFormat="1" ht="20.1" customHeight="1" spans="1:8">
      <c r="A61" s="153"/>
      <c r="B61" s="41"/>
      <c r="C61" s="41"/>
      <c r="D61" s="152"/>
      <c r="E61" s="129" t="s">
        <v>1267</v>
      </c>
      <c r="F61" s="41"/>
      <c r="G61" s="41"/>
      <c r="H61" s="152"/>
    </row>
    <row r="62" s="106" customFormat="1" ht="20.1" customHeight="1" spans="1:8">
      <c r="A62" s="153"/>
      <c r="B62" s="41"/>
      <c r="C62" s="41"/>
      <c r="D62" s="152"/>
      <c r="E62" s="127" t="s">
        <v>1312</v>
      </c>
      <c r="F62" s="149">
        <f>SUM(F63)</f>
        <v>0</v>
      </c>
      <c r="G62" s="149">
        <f>SUM(G63)</f>
        <v>0</v>
      </c>
      <c r="H62" s="150"/>
    </row>
    <row r="63" s="106" customFormat="1" ht="20.1" customHeight="1" spans="1:8">
      <c r="A63" s="153"/>
      <c r="B63" s="41"/>
      <c r="C63" s="41"/>
      <c r="D63" s="152"/>
      <c r="E63" s="129" t="s">
        <v>1267</v>
      </c>
      <c r="F63" s="41"/>
      <c r="G63" s="41"/>
      <c r="H63" s="152"/>
    </row>
    <row r="64" s="106" customFormat="1" ht="20.1" customHeight="1" spans="1:8">
      <c r="A64" s="153"/>
      <c r="B64" s="41"/>
      <c r="C64" s="41"/>
      <c r="D64" s="152"/>
      <c r="E64" s="127" t="s">
        <v>1313</v>
      </c>
      <c r="F64" s="149">
        <f>SUM(F65)</f>
        <v>0</v>
      </c>
      <c r="G64" s="149">
        <f>SUM(G65)</f>
        <v>0</v>
      </c>
      <c r="H64" s="150"/>
    </row>
    <row r="65" s="106" customFormat="1" ht="20.1" customHeight="1" spans="1:8">
      <c r="A65" s="153"/>
      <c r="B65" s="41"/>
      <c r="C65" s="41"/>
      <c r="D65" s="152"/>
      <c r="E65" s="129" t="s">
        <v>1267</v>
      </c>
      <c r="F65" s="41"/>
      <c r="G65" s="41"/>
      <c r="H65" s="152"/>
    </row>
    <row r="66" s="106" customFormat="1" ht="20.1" customHeight="1" spans="1:8">
      <c r="A66" s="153"/>
      <c r="B66" s="41"/>
      <c r="C66" s="41"/>
      <c r="D66" s="152"/>
      <c r="E66" s="127" t="s">
        <v>1314</v>
      </c>
      <c r="F66" s="149">
        <f>SUM(F67:F72)</f>
        <v>320</v>
      </c>
      <c r="G66" s="149">
        <f>SUM(G67:G72)</f>
        <v>2244</v>
      </c>
      <c r="H66" s="150">
        <f>G66/F66</f>
        <v>7.0125</v>
      </c>
    </row>
    <row r="67" s="106" customFormat="1" ht="20.1" customHeight="1" spans="1:8">
      <c r="A67" s="153"/>
      <c r="B67" s="41"/>
      <c r="C67" s="41"/>
      <c r="D67" s="152"/>
      <c r="E67" s="129" t="s">
        <v>1315</v>
      </c>
      <c r="F67" s="41"/>
      <c r="G67" s="41">
        <v>748</v>
      </c>
      <c r="H67" s="152"/>
    </row>
    <row r="68" s="106" customFormat="1" ht="20.1" customHeight="1" spans="1:8">
      <c r="A68" s="153"/>
      <c r="B68" s="41"/>
      <c r="C68" s="41"/>
      <c r="D68" s="152"/>
      <c r="E68" s="129" t="s">
        <v>1316</v>
      </c>
      <c r="F68" s="41"/>
      <c r="G68" s="41"/>
      <c r="H68" s="152"/>
    </row>
    <row r="69" s="106" customFormat="1" ht="20.1" customHeight="1" spans="1:8">
      <c r="A69" s="153"/>
      <c r="B69" s="41"/>
      <c r="C69" s="41"/>
      <c r="D69" s="152"/>
      <c r="E69" s="129" t="s">
        <v>1317</v>
      </c>
      <c r="F69" s="41"/>
      <c r="G69" s="41"/>
      <c r="H69" s="152"/>
    </row>
    <row r="70" s="106" customFormat="1" ht="20.1" customHeight="1" spans="1:8">
      <c r="A70" s="153"/>
      <c r="B70" s="41"/>
      <c r="C70" s="41"/>
      <c r="D70" s="152"/>
      <c r="E70" s="129" t="s">
        <v>1318</v>
      </c>
      <c r="F70" s="41"/>
      <c r="G70" s="41"/>
      <c r="H70" s="152"/>
    </row>
    <row r="71" s="106" customFormat="1" ht="20.1" customHeight="1" spans="1:8">
      <c r="A71" s="153"/>
      <c r="B71" s="41"/>
      <c r="C71" s="41"/>
      <c r="D71" s="152"/>
      <c r="E71" s="129" t="s">
        <v>1319</v>
      </c>
      <c r="F71" s="41">
        <v>320</v>
      </c>
      <c r="G71" s="41">
        <v>1496</v>
      </c>
      <c r="H71" s="152">
        <f t="shared" ref="H71:H76" si="5">G71/F71</f>
        <v>4.675</v>
      </c>
    </row>
    <row r="72" s="106" customFormat="1" ht="20.1" customHeight="1" spans="1:8">
      <c r="A72" s="153"/>
      <c r="B72" s="41"/>
      <c r="C72" s="41"/>
      <c r="D72" s="152"/>
      <c r="E72" s="129" t="s">
        <v>1320</v>
      </c>
      <c r="F72" s="41"/>
      <c r="G72" s="41"/>
      <c r="H72" s="152"/>
    </row>
    <row r="73" s="106" customFormat="1" ht="20.1" customHeight="1" spans="1:8">
      <c r="A73" s="153"/>
      <c r="B73" s="41"/>
      <c r="C73" s="41"/>
      <c r="D73" s="152"/>
      <c r="E73" s="163" t="s">
        <v>1325</v>
      </c>
      <c r="F73" s="149">
        <f>SUM(F74)</f>
        <v>2845</v>
      </c>
      <c r="G73" s="149">
        <f>SUM(G74)</f>
        <v>2360</v>
      </c>
      <c r="H73" s="150">
        <f t="shared" si="5"/>
        <v>0.8295</v>
      </c>
    </row>
    <row r="74" s="106" customFormat="1" ht="20.1" customHeight="1" spans="1:8">
      <c r="A74" s="153"/>
      <c r="B74" s="41"/>
      <c r="C74" s="41"/>
      <c r="D74" s="152"/>
      <c r="E74" s="129" t="s">
        <v>1326</v>
      </c>
      <c r="F74" s="41">
        <v>2845</v>
      </c>
      <c r="G74" s="41">
        <v>2360</v>
      </c>
      <c r="H74" s="152">
        <f t="shared" si="5"/>
        <v>0.8295</v>
      </c>
    </row>
    <row r="75" s="106" customFormat="1" ht="20.1" customHeight="1" spans="1:8">
      <c r="A75" s="153"/>
      <c r="B75" s="41"/>
      <c r="C75" s="41"/>
      <c r="D75" s="152"/>
      <c r="E75" s="163" t="s">
        <v>1327</v>
      </c>
      <c r="F75" s="149">
        <f>SUM(F76)</f>
        <v>23</v>
      </c>
      <c r="G75" s="149">
        <f>SUM(G76)</f>
        <v>0</v>
      </c>
      <c r="H75" s="150">
        <f t="shared" si="5"/>
        <v>0</v>
      </c>
    </row>
    <row r="76" s="106" customFormat="1" ht="20.1" customHeight="1" spans="1:8">
      <c r="A76" s="153"/>
      <c r="B76" s="41"/>
      <c r="C76" s="41"/>
      <c r="D76" s="152"/>
      <c r="E76" s="129" t="s">
        <v>1328</v>
      </c>
      <c r="F76" s="41">
        <v>23</v>
      </c>
      <c r="G76" s="41"/>
      <c r="H76" s="152">
        <f t="shared" si="5"/>
        <v>0</v>
      </c>
    </row>
    <row r="77" s="106" customFormat="1" ht="20.1" customHeight="1" spans="1:8">
      <c r="A77" s="153"/>
      <c r="B77" s="41"/>
      <c r="C77" s="41"/>
      <c r="D77" s="152"/>
      <c r="E77" s="163" t="s">
        <v>1329</v>
      </c>
      <c r="F77" s="149">
        <f>SUM(F78:F79)</f>
        <v>0</v>
      </c>
      <c r="G77" s="149">
        <f>SUM(G78:G79)</f>
        <v>0</v>
      </c>
      <c r="H77" s="150"/>
    </row>
    <row r="78" s="106" customFormat="1" ht="20.1" customHeight="1" spans="1:8">
      <c r="A78" s="153"/>
      <c r="B78" s="41"/>
      <c r="C78" s="41"/>
      <c r="D78" s="152"/>
      <c r="E78" s="129" t="s">
        <v>1330</v>
      </c>
      <c r="F78" s="41"/>
      <c r="G78" s="41"/>
      <c r="H78" s="152"/>
    </row>
    <row r="79" s="106" customFormat="1" ht="20.1" customHeight="1" spans="1:8">
      <c r="A79" s="153"/>
      <c r="B79" s="41"/>
      <c r="C79" s="41"/>
      <c r="D79" s="152"/>
      <c r="E79" s="129" t="s">
        <v>1331</v>
      </c>
      <c r="F79" s="41"/>
      <c r="G79" s="41"/>
      <c r="H79" s="152"/>
    </row>
    <row r="80" s="106" customFormat="1" ht="20.1" customHeight="1" spans="1:8">
      <c r="A80" s="153"/>
      <c r="B80" s="41"/>
      <c r="C80" s="41"/>
      <c r="D80" s="152"/>
      <c r="E80" s="137"/>
      <c r="F80" s="41"/>
      <c r="G80" s="41"/>
      <c r="H80" s="152"/>
    </row>
    <row r="81" s="106" customFormat="1" ht="20.1" customHeight="1" spans="1:8">
      <c r="A81" s="153"/>
      <c r="B81" s="41"/>
      <c r="C81" s="41"/>
      <c r="D81" s="152"/>
      <c r="E81" s="137"/>
      <c r="F81" s="41"/>
      <c r="G81" s="41"/>
      <c r="H81" s="152"/>
    </row>
    <row r="82" s="107" customFormat="1" ht="20.1" customHeight="1" spans="1:8">
      <c r="A82" s="138" t="s">
        <v>4939</v>
      </c>
      <c r="B82" s="139">
        <f>B35+B5</f>
        <v>12924</v>
      </c>
      <c r="C82" s="139">
        <f>C35+C5</f>
        <v>11566</v>
      </c>
      <c r="D82" s="159">
        <f>C82/B82</f>
        <v>0.8949</v>
      </c>
      <c r="E82" s="138" t="s">
        <v>3546</v>
      </c>
      <c r="F82" s="139">
        <f>F5+F7+F10+F15+F17+F21+F33+F43+F53+F56+F58+F60+F62+F64+F66+F73+F75+F77</f>
        <v>34730</v>
      </c>
      <c r="G82" s="139">
        <f>G5+G7+G10+G15+G17+G21+G33+G43+G53+G56+G58+G60+G62+G64+G66+G73+G75+G77</f>
        <v>32074</v>
      </c>
      <c r="H82" s="159">
        <f>G82/F82</f>
        <v>0.9235</v>
      </c>
    </row>
    <row r="83" s="106" customFormat="1" ht="20.1" customHeight="1" spans="1:8">
      <c r="A83" s="160" t="s">
        <v>1236</v>
      </c>
      <c r="B83" s="149">
        <f>SUM(B84:B86)</f>
        <v>0</v>
      </c>
      <c r="C83" s="149">
        <f>SUM(C84:C86)</f>
        <v>0</v>
      </c>
      <c r="D83" s="150"/>
      <c r="E83" s="163" t="s">
        <v>1237</v>
      </c>
      <c r="F83" s="149">
        <f>SUM(F84:F89)</f>
        <v>19865</v>
      </c>
      <c r="G83" s="149">
        <f>SUM(G84:G89)</f>
        <v>0</v>
      </c>
      <c r="H83" s="150">
        <f>G83/F83</f>
        <v>0</v>
      </c>
    </row>
    <row r="84" s="106" customFormat="1" ht="20.1" customHeight="1" spans="1:8">
      <c r="A84" s="131" t="s">
        <v>4940</v>
      </c>
      <c r="B84" s="41"/>
      <c r="C84" s="41"/>
      <c r="D84" s="152"/>
      <c r="E84" s="131" t="s">
        <v>4945</v>
      </c>
      <c r="F84" s="41"/>
      <c r="G84" s="41"/>
      <c r="H84" s="152"/>
    </row>
    <row r="85" s="106" customFormat="1" ht="20.1" customHeight="1" spans="1:8">
      <c r="A85" s="131" t="s">
        <v>4941</v>
      </c>
      <c r="B85" s="41"/>
      <c r="C85" s="41"/>
      <c r="D85" s="152"/>
      <c r="E85" s="131" t="s">
        <v>1241</v>
      </c>
      <c r="F85" s="41"/>
      <c r="G85" s="41"/>
      <c r="H85" s="152"/>
    </row>
    <row r="86" s="106" customFormat="1" ht="20.1" customHeight="1" spans="1:8">
      <c r="A86" s="131" t="s">
        <v>4941</v>
      </c>
      <c r="B86" s="41"/>
      <c r="C86" s="41"/>
      <c r="D86" s="152"/>
      <c r="E86" s="131" t="s">
        <v>1243</v>
      </c>
      <c r="F86" s="41"/>
      <c r="G86" s="41"/>
      <c r="H86" s="152"/>
    </row>
    <row r="87" s="106" customFormat="1" ht="20.1" customHeight="1" spans="1:8">
      <c r="A87" s="160" t="s">
        <v>1246</v>
      </c>
      <c r="B87" s="149">
        <f>SUM(B88:B94)</f>
        <v>47453</v>
      </c>
      <c r="C87" s="149">
        <f>SUM(C88:C94)</f>
        <v>20508</v>
      </c>
      <c r="D87" s="150">
        <f t="shared" ref="D87:D90" si="6">C87/B87</f>
        <v>0.4322</v>
      </c>
      <c r="E87" s="131" t="s">
        <v>1245</v>
      </c>
      <c r="F87" s="41">
        <v>19865</v>
      </c>
      <c r="G87" s="41"/>
      <c r="H87" s="152"/>
    </row>
    <row r="88" s="106" customFormat="1" ht="20.1" customHeight="1" spans="1:8">
      <c r="A88" s="161" t="s">
        <v>1248</v>
      </c>
      <c r="B88" s="41">
        <v>1363</v>
      </c>
      <c r="C88" s="41">
        <v>643</v>
      </c>
      <c r="D88" s="152">
        <f t="shared" si="6"/>
        <v>0.4718</v>
      </c>
      <c r="E88" s="131" t="s">
        <v>1247</v>
      </c>
      <c r="F88" s="41"/>
      <c r="G88" s="41"/>
      <c r="H88" s="152"/>
    </row>
    <row r="89" s="106" customFormat="1" ht="20.1" customHeight="1" spans="1:8">
      <c r="A89" s="161" t="s">
        <v>1251</v>
      </c>
      <c r="B89" s="41"/>
      <c r="C89" s="41"/>
      <c r="D89" s="152"/>
      <c r="E89" s="131" t="s">
        <v>1249</v>
      </c>
      <c r="F89" s="41"/>
      <c r="G89" s="41"/>
      <c r="H89" s="152"/>
    </row>
    <row r="90" s="106" customFormat="1" ht="20.1" customHeight="1" spans="1:8">
      <c r="A90" s="161" t="s">
        <v>1252</v>
      </c>
      <c r="B90" s="41">
        <v>19153</v>
      </c>
      <c r="C90" s="41">
        <v>19865</v>
      </c>
      <c r="D90" s="152">
        <f t="shared" si="6"/>
        <v>1.0372</v>
      </c>
      <c r="E90" s="163" t="s">
        <v>4946</v>
      </c>
      <c r="F90" s="149">
        <f>SUM(F91:F93)</f>
        <v>5782</v>
      </c>
      <c r="G90" s="149">
        <f>SUM(G91:G93)</f>
        <v>0</v>
      </c>
      <c r="H90" s="150">
        <f>G90/F90</f>
        <v>0</v>
      </c>
    </row>
    <row r="91" s="106" customFormat="1" ht="20.1" customHeight="1" spans="1:8">
      <c r="A91" s="161" t="s">
        <v>1253</v>
      </c>
      <c r="B91" s="41"/>
      <c r="C91" s="41"/>
      <c r="D91" s="152"/>
      <c r="E91" s="129" t="s">
        <v>1322</v>
      </c>
      <c r="F91" s="41">
        <v>5782</v>
      </c>
      <c r="G91" s="41"/>
      <c r="H91" s="152">
        <f>G91/F91</f>
        <v>0</v>
      </c>
    </row>
    <row r="92" s="106" customFormat="1" ht="20.1" customHeight="1" spans="1:8">
      <c r="A92" s="162" t="s">
        <v>1254</v>
      </c>
      <c r="B92" s="41">
        <v>26937</v>
      </c>
      <c r="C92" s="41"/>
      <c r="D92" s="152"/>
      <c r="E92" s="129" t="s">
        <v>1323</v>
      </c>
      <c r="F92" s="41"/>
      <c r="G92" s="41"/>
      <c r="H92" s="152"/>
    </row>
    <row r="93" s="106" customFormat="1" ht="20.1" customHeight="1" spans="1:8">
      <c r="A93" s="162" t="s">
        <v>1255</v>
      </c>
      <c r="B93" s="41"/>
      <c r="C93" s="41"/>
      <c r="D93" s="152"/>
      <c r="E93" s="129" t="s">
        <v>1324</v>
      </c>
      <c r="F93" s="41"/>
      <c r="G93" s="41"/>
      <c r="H93" s="152"/>
    </row>
    <row r="94" s="106" customFormat="1" ht="20.1" customHeight="1" spans="1:8">
      <c r="A94" s="162" t="s">
        <v>1255</v>
      </c>
      <c r="B94" s="41"/>
      <c r="C94" s="41"/>
      <c r="D94" s="152"/>
      <c r="E94" s="41"/>
      <c r="F94" s="41"/>
      <c r="G94" s="41"/>
      <c r="H94" s="152"/>
    </row>
    <row r="95" s="106" customFormat="1" ht="20.1" customHeight="1" spans="1:8">
      <c r="A95" s="41"/>
      <c r="B95" s="41"/>
      <c r="C95" s="41"/>
      <c r="D95" s="152"/>
      <c r="E95" s="41"/>
      <c r="F95" s="41"/>
      <c r="G95" s="41"/>
      <c r="H95" s="152"/>
    </row>
    <row r="96" s="106" customFormat="1" ht="20.1" customHeight="1" spans="1:8">
      <c r="A96" s="42" t="s">
        <v>4942</v>
      </c>
      <c r="B96" s="41">
        <f>B82+B83+B87</f>
        <v>60377</v>
      </c>
      <c r="C96" s="41">
        <f>C82+C83+C87</f>
        <v>32074</v>
      </c>
      <c r="D96" s="152">
        <f>C96/B96</f>
        <v>0.5312</v>
      </c>
      <c r="E96" s="42" t="s">
        <v>1333</v>
      </c>
      <c r="F96" s="41">
        <f>F82+F83+F90</f>
        <v>60377</v>
      </c>
      <c r="G96" s="41">
        <f>G82+G83+G90</f>
        <v>32074</v>
      </c>
      <c r="H96" s="152">
        <f>G96/F96</f>
        <v>0.5312</v>
      </c>
    </row>
    <row r="97" s="140" customFormat="1" ht="20.1" customHeight="1" spans="8:8">
      <c r="H97" s="142"/>
    </row>
    <row r="98" s="140" customFormat="1" ht="20.1" customHeight="1" spans="8:8">
      <c r="H98" s="142"/>
    </row>
    <row r="99" s="140" customFormat="1" ht="20.1" customHeight="1" spans="8:8">
      <c r="H99" s="142"/>
    </row>
    <row r="100" s="140" customFormat="1" ht="20.1" customHeight="1" spans="8:8">
      <c r="H100" s="142"/>
    </row>
    <row r="101" s="140" customFormat="1" ht="20.1" customHeight="1" spans="8:8">
      <c r="H101" s="142"/>
    </row>
    <row r="102" s="140" customFormat="1" ht="20.1" customHeight="1" spans="8:8">
      <c r="H102" s="142"/>
    </row>
    <row r="103" s="140" customFormat="1" ht="20.1" customHeight="1" spans="8:8">
      <c r="H103" s="142"/>
    </row>
    <row r="104" s="140" customFormat="1" ht="20.1" customHeight="1" spans="8:8">
      <c r="H104" s="142"/>
    </row>
    <row r="105" s="140" customFormat="1" ht="20.1" customHeight="1" spans="8:8">
      <c r="H105" s="142"/>
    </row>
    <row r="106" s="140" customFormat="1" ht="20.1" customHeight="1" spans="8:8">
      <c r="H106" s="142"/>
    </row>
    <row r="107" s="140" customFormat="1" ht="20.1" customHeight="1" spans="8:8">
      <c r="H107" s="142"/>
    </row>
    <row r="108" s="140" customFormat="1" ht="20.1" customHeight="1" spans="8:8">
      <c r="H108" s="142"/>
    </row>
    <row r="109" s="140" customFormat="1" ht="20.1" customHeight="1" spans="8:8">
      <c r="H109" s="142"/>
    </row>
    <row r="110" s="140" customFormat="1" ht="20.1" customHeight="1" spans="8:8">
      <c r="H110" s="142"/>
    </row>
    <row r="111" s="140" customFormat="1" ht="20.1" customHeight="1" spans="8:8">
      <c r="H111" s="142"/>
    </row>
    <row r="112" s="140" customFormat="1" spans="8:8">
      <c r="H112" s="142"/>
    </row>
    <row r="113" s="140" customFormat="1" spans="8:8">
      <c r="H113" s="142"/>
    </row>
    <row r="114" s="140" customFormat="1" spans="8:8">
      <c r="H114" s="142"/>
    </row>
    <row r="115" s="140" customFormat="1" spans="8:8">
      <c r="H115" s="142"/>
    </row>
    <row r="116" s="140" customFormat="1" spans="8:8">
      <c r="H116" s="142"/>
    </row>
    <row r="117" s="140" customFormat="1" spans="8:8">
      <c r="H117" s="142"/>
    </row>
    <row r="118" s="140" customFormat="1" spans="8:8">
      <c r="H118" s="142"/>
    </row>
    <row r="119" s="140" customFormat="1" spans="8:8">
      <c r="H119" s="142"/>
    </row>
    <row r="120" s="140" customFormat="1" spans="8:8">
      <c r="H120" s="142"/>
    </row>
    <row r="121" s="140" customFormat="1" spans="8:8">
      <c r="H121" s="142"/>
    </row>
    <row r="122" s="140" customFormat="1" spans="8:8">
      <c r="H122" s="142"/>
    </row>
    <row r="123" s="140" customFormat="1" spans="8:8">
      <c r="H123" s="142"/>
    </row>
    <row r="124" s="140" customFormat="1" spans="8:8">
      <c r="H124" s="142"/>
    </row>
    <row r="125" s="140" customFormat="1" spans="8:8">
      <c r="H125" s="142"/>
    </row>
    <row r="126" s="140" customFormat="1" spans="8:8">
      <c r="H126" s="142"/>
    </row>
    <row r="127" s="140" customFormat="1" spans="8:8">
      <c r="H127" s="142"/>
    </row>
    <row r="128" s="140" customFormat="1" spans="8:8">
      <c r="H128" s="142"/>
    </row>
    <row r="129" s="140" customFormat="1" spans="8:8">
      <c r="H129" s="142"/>
    </row>
    <row r="130" s="140" customFormat="1" spans="8:8">
      <c r="H130" s="142"/>
    </row>
    <row r="131" s="140" customFormat="1" spans="8:8">
      <c r="H131" s="142"/>
    </row>
    <row r="132" s="140" customFormat="1" spans="8:8">
      <c r="H132" s="142"/>
    </row>
    <row r="133" s="140" customFormat="1" spans="8:8">
      <c r="H133" s="142"/>
    </row>
    <row r="134" s="140" customFormat="1" spans="8:8">
      <c r="H134" s="142"/>
    </row>
    <row r="135" s="140" customFormat="1" spans="8:8">
      <c r="H135" s="142"/>
    </row>
    <row r="136" s="140" customFormat="1" spans="8:8">
      <c r="H136" s="142"/>
    </row>
    <row r="137" s="140" customFormat="1" spans="8:8">
      <c r="H137" s="142"/>
    </row>
    <row r="138" s="140" customFormat="1" spans="8:8">
      <c r="H138" s="142"/>
    </row>
    <row r="139" s="140" customFormat="1" spans="8:8">
      <c r="H139" s="142"/>
    </row>
    <row r="140" s="140" customFormat="1" spans="8:8">
      <c r="H140" s="142"/>
    </row>
    <row r="141" s="140" customFormat="1" spans="8:8">
      <c r="H141" s="142"/>
    </row>
    <row r="142" s="140" customFormat="1" spans="8:8">
      <c r="H142" s="142"/>
    </row>
    <row r="143" s="140" customFormat="1" spans="8:8">
      <c r="H143" s="142"/>
    </row>
    <row r="144" s="140" customFormat="1" spans="8:8">
      <c r="H144" s="142"/>
    </row>
    <row r="145" s="140" customFormat="1" spans="8:8">
      <c r="H145" s="142"/>
    </row>
    <row r="146" s="140" customFormat="1" spans="8:8">
      <c r="H146" s="142"/>
    </row>
    <row r="147" s="140" customFormat="1" spans="8:8">
      <c r="H147" s="142"/>
    </row>
    <row r="148" s="140" customFormat="1" spans="8:8">
      <c r="H148" s="142"/>
    </row>
    <row r="149" s="140" customFormat="1" spans="8:8">
      <c r="H149" s="142"/>
    </row>
    <row r="150" s="140" customFormat="1" spans="8:8">
      <c r="H150" s="142"/>
    </row>
    <row r="151" s="140" customFormat="1" spans="8:8">
      <c r="H151" s="142"/>
    </row>
    <row r="152" s="140" customFormat="1" spans="8:8">
      <c r="H152" s="142"/>
    </row>
    <row r="153" s="140" customFormat="1" spans="8:8">
      <c r="H153" s="142"/>
    </row>
    <row r="154" s="140" customFormat="1" spans="8:8">
      <c r="H154" s="142"/>
    </row>
    <row r="155" s="140" customFormat="1" spans="8:8">
      <c r="H155" s="142"/>
    </row>
    <row r="156" s="140" customFormat="1" spans="8:8">
      <c r="H156" s="142"/>
    </row>
    <row r="157" s="140" customFormat="1" spans="8:8">
      <c r="H157" s="142"/>
    </row>
    <row r="158" s="140" customFormat="1" spans="8:8">
      <c r="H158" s="142"/>
    </row>
    <row r="159" s="140" customFormat="1" spans="8:8">
      <c r="H159" s="142"/>
    </row>
    <row r="160" s="140" customFormat="1" spans="8:8">
      <c r="H160" s="142"/>
    </row>
    <row r="161" s="140" customFormat="1" spans="8:8">
      <c r="H161" s="142"/>
    </row>
    <row r="162" s="140" customFormat="1" spans="8:8">
      <c r="H162" s="142"/>
    </row>
    <row r="163" s="140" customFormat="1" spans="8:8">
      <c r="H163" s="142"/>
    </row>
    <row r="164" s="140" customFormat="1" spans="8:8">
      <c r="H164" s="142"/>
    </row>
    <row r="165" s="140" customFormat="1" spans="8:8">
      <c r="H165" s="142"/>
    </row>
    <row r="166" s="140" customFormat="1" spans="8:8">
      <c r="H166" s="142"/>
    </row>
    <row r="167" s="140" customFormat="1" spans="8:8">
      <c r="H167" s="142"/>
    </row>
    <row r="168" s="140" customFormat="1" spans="8:8">
      <c r="H168" s="142"/>
    </row>
    <row r="169" s="140" customFormat="1" spans="8:8">
      <c r="H169" s="142"/>
    </row>
    <row r="170" s="140" customFormat="1" spans="8:8">
      <c r="H170" s="142"/>
    </row>
    <row r="171" s="140" customFormat="1" spans="8:8">
      <c r="H171" s="142"/>
    </row>
    <row r="172" s="140" customFormat="1" spans="8:8">
      <c r="H172" s="142"/>
    </row>
    <row r="173" s="140" customFormat="1" spans="8:8">
      <c r="H173" s="142"/>
    </row>
    <row r="174" s="140" customFormat="1" spans="8:8">
      <c r="H174" s="142"/>
    </row>
    <row r="175" s="140" customFormat="1" spans="8:8">
      <c r="H175" s="142"/>
    </row>
    <row r="176" s="140" customFormat="1" spans="8:8">
      <c r="H176" s="142"/>
    </row>
    <row r="177" s="140" customFormat="1" spans="8:8">
      <c r="H177" s="142"/>
    </row>
    <row r="178" s="140" customFormat="1" spans="8:8">
      <c r="H178" s="142"/>
    </row>
    <row r="179" s="140" customFormat="1" spans="8:8">
      <c r="H179" s="142"/>
    </row>
    <row r="180" s="140" customFormat="1" spans="8:8">
      <c r="H180" s="142"/>
    </row>
    <row r="181" s="140" customFormat="1" spans="8:8">
      <c r="H181" s="142"/>
    </row>
    <row r="182" s="140" customFormat="1" spans="8:8">
      <c r="H182" s="142"/>
    </row>
    <row r="183" s="140" customFormat="1" spans="8:8">
      <c r="H183" s="142"/>
    </row>
    <row r="184" s="140" customFormat="1" spans="8:8">
      <c r="H184" s="142"/>
    </row>
    <row r="185" s="140" customFormat="1" spans="8:8">
      <c r="H185" s="142"/>
    </row>
    <row r="186" s="140" customFormat="1" spans="8:8">
      <c r="H186" s="142"/>
    </row>
    <row r="187" s="140" customFormat="1" spans="8:8">
      <c r="H187" s="142"/>
    </row>
    <row r="188" s="140" customFormat="1" spans="8:8">
      <c r="H188" s="142"/>
    </row>
    <row r="189" s="140" customFormat="1" spans="8:8">
      <c r="H189" s="142"/>
    </row>
    <row r="190" s="140" customFormat="1" spans="8:8">
      <c r="H190" s="142"/>
    </row>
    <row r="191" s="140" customFormat="1" spans="8:8">
      <c r="H191" s="142"/>
    </row>
    <row r="192" s="140" customFormat="1" spans="8:8">
      <c r="H192" s="142"/>
    </row>
    <row r="193" s="140" customFormat="1" spans="8:8">
      <c r="H193" s="142"/>
    </row>
    <row r="194" s="140" customFormat="1" spans="8:8">
      <c r="H194" s="142"/>
    </row>
    <row r="195" s="140" customFormat="1" spans="8:8">
      <c r="H195" s="142"/>
    </row>
    <row r="196" s="140" customFormat="1" spans="8:8">
      <c r="H196" s="142"/>
    </row>
    <row r="197" s="140" customFormat="1" spans="8:8">
      <c r="H197" s="142"/>
    </row>
    <row r="198" s="140" customFormat="1" spans="8:8">
      <c r="H198" s="142"/>
    </row>
    <row r="199" s="140" customFormat="1" spans="8:8">
      <c r="H199" s="142"/>
    </row>
    <row r="200" s="140" customFormat="1" spans="8:8">
      <c r="H200" s="142"/>
    </row>
    <row r="201" s="140" customFormat="1" spans="8:8">
      <c r="H201" s="142"/>
    </row>
    <row r="202" s="140" customFormat="1" spans="8:8">
      <c r="H202" s="142"/>
    </row>
    <row r="203" s="140" customFormat="1" spans="8:8">
      <c r="H203" s="142"/>
    </row>
    <row r="204" s="140" customFormat="1" spans="8:8">
      <c r="H204" s="142"/>
    </row>
    <row r="205" s="140" customFormat="1" spans="8:8">
      <c r="H205" s="142"/>
    </row>
    <row r="206" s="140" customFormat="1" spans="8:8">
      <c r="H206" s="142"/>
    </row>
    <row r="207" s="140" customFormat="1" spans="8:8">
      <c r="H207" s="142"/>
    </row>
    <row r="208" s="140" customFormat="1" spans="8:8">
      <c r="H208" s="142"/>
    </row>
    <row r="209" s="140" customFormat="1" spans="8:8">
      <c r="H209" s="142"/>
    </row>
    <row r="210" s="140" customFormat="1" spans="8:8">
      <c r="H210" s="142"/>
    </row>
    <row r="211" s="140" customFormat="1" spans="8:8">
      <c r="H211" s="142"/>
    </row>
    <row r="212" s="140" customFormat="1" spans="8:8">
      <c r="H212" s="142"/>
    </row>
    <row r="213" s="140" customFormat="1" spans="8:8">
      <c r="H213" s="142"/>
    </row>
    <row r="214" s="140" customFormat="1" spans="8:8">
      <c r="H214" s="142"/>
    </row>
    <row r="215" s="140" customFormat="1" spans="8:8">
      <c r="H215" s="142"/>
    </row>
    <row r="216" s="140" customFormat="1" spans="8:8">
      <c r="H216" s="142"/>
    </row>
    <row r="217" s="140" customFormat="1" spans="8:8">
      <c r="H217" s="142"/>
    </row>
    <row r="218" s="140" customFormat="1" spans="8:8">
      <c r="H218" s="142"/>
    </row>
    <row r="219" s="140" customFormat="1" spans="8:8">
      <c r="H219" s="142"/>
    </row>
    <row r="220" s="140" customFormat="1" spans="8:8">
      <c r="H220" s="142"/>
    </row>
    <row r="221" s="140" customFormat="1" spans="8:8">
      <c r="H221" s="142"/>
    </row>
    <row r="222" s="140" customFormat="1" spans="8:8">
      <c r="H222" s="142"/>
    </row>
    <row r="223" s="140" customFormat="1" spans="8:8">
      <c r="H223" s="142"/>
    </row>
    <row r="224" s="140" customFormat="1" spans="8:8">
      <c r="H224" s="142"/>
    </row>
    <row r="225" s="140" customFormat="1" spans="8:8">
      <c r="H225" s="142"/>
    </row>
    <row r="226" s="140" customFormat="1" spans="8:8">
      <c r="H226" s="142"/>
    </row>
    <row r="227" s="140" customFormat="1" spans="8:8">
      <c r="H227" s="142"/>
    </row>
    <row r="228" s="140" customFormat="1" spans="8:8">
      <c r="H228" s="142"/>
    </row>
    <row r="229" s="140" customFormat="1" spans="8:8">
      <c r="H229" s="142"/>
    </row>
    <row r="230" s="140" customFormat="1" spans="8:8">
      <c r="H230" s="142"/>
    </row>
    <row r="231" s="140" customFormat="1" spans="8:8">
      <c r="H231" s="142"/>
    </row>
    <row r="232" s="140" customFormat="1" spans="8:8">
      <c r="H232" s="142"/>
    </row>
    <row r="233" s="140" customFormat="1" spans="8:8">
      <c r="H233" s="142"/>
    </row>
    <row r="234" s="140" customFormat="1" spans="8:8">
      <c r="H234" s="142"/>
    </row>
    <row r="235" s="140" customFormat="1" spans="8:8">
      <c r="H235" s="142"/>
    </row>
    <row r="236" s="140" customFormat="1" spans="8:8">
      <c r="H236" s="142"/>
    </row>
    <row r="237" s="140" customFormat="1" spans="8:8">
      <c r="H237" s="142"/>
    </row>
    <row r="238" s="140" customFormat="1" spans="8:8">
      <c r="H238" s="142"/>
    </row>
    <row r="239" s="140" customFormat="1" spans="8:8">
      <c r="H239" s="142"/>
    </row>
    <row r="240" s="140" customFormat="1" spans="8:8">
      <c r="H240" s="142"/>
    </row>
    <row r="241" s="140" customFormat="1" spans="8:8">
      <c r="H241" s="142"/>
    </row>
    <row r="242" s="140" customFormat="1" spans="8:8">
      <c r="H242" s="142"/>
    </row>
    <row r="243" s="140" customFormat="1" spans="8:8">
      <c r="H243" s="142"/>
    </row>
    <row r="244" s="140" customFormat="1" spans="8:8">
      <c r="H244" s="142"/>
    </row>
    <row r="245" s="140" customFormat="1" spans="8:8">
      <c r="H245" s="142"/>
    </row>
    <row r="246" s="140" customFormat="1" spans="8:8">
      <c r="H246" s="142"/>
    </row>
    <row r="247" s="140" customFormat="1" spans="8:8">
      <c r="H247" s="142"/>
    </row>
    <row r="248" s="140" customFormat="1" spans="8:8">
      <c r="H248" s="142"/>
    </row>
    <row r="249" s="140" customFormat="1" spans="8:8">
      <c r="H249" s="142"/>
    </row>
    <row r="250" s="140" customFormat="1" spans="8:8">
      <c r="H250" s="142"/>
    </row>
    <row r="251" s="140" customFormat="1" spans="8:8">
      <c r="H251" s="142"/>
    </row>
    <row r="252" s="140" customFormat="1" spans="8:8">
      <c r="H252" s="142"/>
    </row>
    <row r="253" s="140" customFormat="1" spans="8:8">
      <c r="H253" s="142"/>
    </row>
    <row r="254" s="140" customFormat="1" spans="8:8">
      <c r="H254" s="142"/>
    </row>
    <row r="255" s="140" customFormat="1" spans="8:8">
      <c r="H255" s="142"/>
    </row>
    <row r="256" s="140" customFormat="1" spans="8:8">
      <c r="H256" s="142"/>
    </row>
    <row r="257" s="140" customFormat="1" spans="8:8">
      <c r="H257" s="142"/>
    </row>
    <row r="258" s="140" customFormat="1" spans="8:8">
      <c r="H258" s="142"/>
    </row>
    <row r="259" s="140" customFormat="1" spans="8:8">
      <c r="H259" s="142"/>
    </row>
    <row r="260" s="140" customFormat="1" spans="8:8">
      <c r="H260" s="142"/>
    </row>
    <row r="261" s="140" customFormat="1" spans="8:8">
      <c r="H261" s="142"/>
    </row>
    <row r="262" s="140" customFormat="1" spans="8:8">
      <c r="H262" s="142"/>
    </row>
    <row r="263" s="140" customFormat="1" spans="8:8">
      <c r="H263" s="142"/>
    </row>
    <row r="264" s="140" customFormat="1" spans="8:8">
      <c r="H264" s="142"/>
    </row>
    <row r="265" s="140" customFormat="1" spans="8:8">
      <c r="H265" s="142"/>
    </row>
    <row r="266" s="140" customFormat="1" spans="8:8">
      <c r="H266" s="142"/>
    </row>
    <row r="267" s="140" customFormat="1" spans="8:8">
      <c r="H267" s="142"/>
    </row>
    <row r="268" s="140" customFormat="1" spans="8:8">
      <c r="H268" s="142"/>
    </row>
    <row r="269" s="140" customFormat="1" spans="8:8">
      <c r="H269" s="142"/>
    </row>
    <row r="270" s="140" customFormat="1" spans="8:8">
      <c r="H270" s="142"/>
    </row>
    <row r="271" s="140" customFormat="1" spans="8:8">
      <c r="H271" s="142"/>
    </row>
    <row r="272" s="140" customFormat="1" spans="8:8">
      <c r="H272" s="142"/>
    </row>
    <row r="273" s="140" customFormat="1" spans="8:8">
      <c r="H273" s="142"/>
    </row>
    <row r="274" s="140" customFormat="1" spans="8:8">
      <c r="H274" s="142"/>
    </row>
    <row r="275" s="140" customFormat="1" spans="8:8">
      <c r="H275" s="142"/>
    </row>
    <row r="276" s="140" customFormat="1" spans="8:8">
      <c r="H276" s="142"/>
    </row>
    <row r="277" s="140" customFormat="1" spans="8:8">
      <c r="H277" s="142"/>
    </row>
    <row r="278" s="140" customFormat="1" spans="8:8">
      <c r="H278" s="142"/>
    </row>
    <row r="279" s="140" customFormat="1" spans="8:8">
      <c r="H279" s="142"/>
    </row>
    <row r="280" s="140" customFormat="1" spans="8:8">
      <c r="H280" s="142"/>
    </row>
    <row r="281" s="140" customFormat="1" spans="8:8">
      <c r="H281" s="142"/>
    </row>
    <row r="282" s="140" customFormat="1" spans="8:8">
      <c r="H282" s="142"/>
    </row>
    <row r="283" s="140" customFormat="1" spans="8:8">
      <c r="H283" s="142"/>
    </row>
    <row r="284" s="140" customFormat="1" spans="8:8">
      <c r="H284" s="142"/>
    </row>
    <row r="285" s="140" customFormat="1" spans="8:8">
      <c r="H285" s="142"/>
    </row>
    <row r="286" s="140" customFormat="1" spans="8:8">
      <c r="H286" s="142"/>
    </row>
    <row r="287" s="140" customFormat="1" spans="8:8">
      <c r="H287" s="142"/>
    </row>
    <row r="288" s="140" customFormat="1" spans="8:8">
      <c r="H288" s="142"/>
    </row>
    <row r="289" s="140" customFormat="1" spans="8:8">
      <c r="H289" s="142"/>
    </row>
    <row r="290" s="140" customFormat="1" spans="8:8">
      <c r="H290" s="142"/>
    </row>
    <row r="291" s="140" customFormat="1" spans="8:8">
      <c r="H291" s="142"/>
    </row>
    <row r="292" s="140" customFormat="1" spans="8:8">
      <c r="H292" s="142"/>
    </row>
    <row r="293" s="140" customFormat="1" spans="8:8">
      <c r="H293" s="142"/>
    </row>
    <row r="294" s="140" customFormat="1" spans="8:8">
      <c r="H294" s="142"/>
    </row>
    <row r="295" s="140" customFormat="1" spans="8:8">
      <c r="H295" s="142"/>
    </row>
    <row r="296" s="140" customFormat="1" spans="8:8">
      <c r="H296" s="142"/>
    </row>
    <row r="297" s="140" customFormat="1" spans="8:8">
      <c r="H297" s="142"/>
    </row>
    <row r="298" s="140" customFormat="1" spans="8:8">
      <c r="H298" s="142"/>
    </row>
    <row r="299" s="140" customFormat="1" spans="8:8">
      <c r="H299" s="142"/>
    </row>
    <row r="300" s="140" customFormat="1" spans="8:8">
      <c r="H300" s="142"/>
    </row>
    <row r="301" s="140" customFormat="1" spans="8:8">
      <c r="H301" s="142"/>
    </row>
    <row r="302" s="140" customFormat="1" spans="8:8">
      <c r="H302" s="142"/>
    </row>
    <row r="303" s="140" customFormat="1" spans="8:8">
      <c r="H303" s="142"/>
    </row>
    <row r="304" s="140" customFormat="1" spans="8:8">
      <c r="H304" s="142"/>
    </row>
    <row r="305" s="140" customFormat="1" spans="8:8">
      <c r="H305" s="142"/>
    </row>
    <row r="306" s="140" customFormat="1" spans="8:8">
      <c r="H306" s="142"/>
    </row>
    <row r="307" s="140" customFormat="1" spans="8:8">
      <c r="H307" s="142"/>
    </row>
    <row r="308" s="140" customFormat="1" spans="8:8">
      <c r="H308" s="142"/>
    </row>
    <row r="309" s="140" customFormat="1" spans="8:8">
      <c r="H309" s="142"/>
    </row>
    <row r="310" s="140" customFormat="1" spans="8:8">
      <c r="H310" s="142"/>
    </row>
    <row r="311" s="140" customFormat="1" spans="8:8">
      <c r="H311" s="142"/>
    </row>
    <row r="312" s="140" customFormat="1" spans="8:8">
      <c r="H312" s="142"/>
    </row>
    <row r="313" s="140" customFormat="1" spans="8:8">
      <c r="H313" s="142"/>
    </row>
  </sheetData>
  <mergeCells count="3">
    <mergeCell ref="A1:H1"/>
    <mergeCell ref="A3:D3"/>
    <mergeCell ref="E3:H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9"/>
  <sheetViews>
    <sheetView zoomScaleSheetLayoutView="60" workbookViewId="0">
      <pane xSplit="1" ySplit="5" topLeftCell="B66" activePane="bottomRight" state="frozen"/>
      <selection/>
      <selection pane="topRight"/>
      <selection pane="bottomLeft"/>
      <selection pane="bottomRight" activeCell="K83" sqref="K83"/>
    </sheetView>
  </sheetViews>
  <sheetFormatPr defaultColWidth="9" defaultRowHeight="15.75" outlineLevelCol="7"/>
  <cols>
    <col min="1" max="1" width="51.375" style="117" customWidth="1"/>
    <col min="2" max="2" width="10.5" style="117" customWidth="1"/>
    <col min="3" max="3" width="9.125" style="117" customWidth="1"/>
    <col min="4" max="4" width="10.5" style="117" customWidth="1"/>
    <col min="5" max="5" width="9.5" style="117" customWidth="1"/>
    <col min="6" max="6" width="8" style="117" customWidth="1"/>
    <col min="7" max="7" width="8.75" style="117" customWidth="1"/>
    <col min="8" max="8" width="9.5" style="117" customWidth="1"/>
    <col min="9" max="16384" width="9" style="117"/>
  </cols>
  <sheetData>
    <row r="1" s="117" customFormat="1" ht="20.25" spans="1:8">
      <c r="A1" s="698" t="s">
        <v>4975</v>
      </c>
      <c r="B1" s="120"/>
      <c r="C1" s="120"/>
      <c r="D1" s="120"/>
      <c r="E1" s="120"/>
      <c r="F1" s="120"/>
      <c r="G1" s="120"/>
      <c r="H1" s="120"/>
    </row>
    <row r="2" s="117" customFormat="1" ht="18" customHeight="1" spans="1:8">
      <c r="A2" s="121"/>
      <c r="H2" s="132" t="s">
        <v>4533</v>
      </c>
    </row>
    <row r="3" s="107" customFormat="1" ht="31.5" customHeight="1" spans="1:8">
      <c r="A3" s="122" t="s">
        <v>89</v>
      </c>
      <c r="B3" s="122" t="s">
        <v>1259</v>
      </c>
      <c r="C3" s="123" t="s">
        <v>1260</v>
      </c>
      <c r="D3" s="123" t="s">
        <v>1262</v>
      </c>
      <c r="E3" s="123" t="s">
        <v>503</v>
      </c>
      <c r="F3" s="133" t="s">
        <v>501</v>
      </c>
      <c r="G3" s="123" t="s">
        <v>1265</v>
      </c>
      <c r="H3" s="122" t="s">
        <v>1266</v>
      </c>
    </row>
    <row r="4" s="107" customFormat="1" ht="27.75" customHeight="1" spans="1:8">
      <c r="A4" s="124"/>
      <c r="B4" s="124"/>
      <c r="C4" s="125"/>
      <c r="D4" s="126"/>
      <c r="E4" s="134"/>
      <c r="F4" s="135"/>
      <c r="G4" s="136"/>
      <c r="H4" s="124"/>
    </row>
    <row r="5" s="118" customFormat="1" ht="18.4" customHeight="1" spans="1:8">
      <c r="A5" s="127" t="s">
        <v>898</v>
      </c>
      <c r="B5" s="128">
        <f t="shared" ref="B5:B68" si="0">SUM(C5:H5)</f>
        <v>0</v>
      </c>
      <c r="C5" s="128">
        <f t="shared" ref="C5:H5" si="1">C6</f>
        <v>0</v>
      </c>
      <c r="D5" s="128">
        <f t="shared" si="1"/>
        <v>0</v>
      </c>
      <c r="E5" s="128">
        <f t="shared" si="1"/>
        <v>0</v>
      </c>
      <c r="F5" s="128">
        <f t="shared" si="1"/>
        <v>0</v>
      </c>
      <c r="G5" s="128">
        <f t="shared" si="1"/>
        <v>0</v>
      </c>
      <c r="H5" s="128">
        <f t="shared" si="1"/>
        <v>0</v>
      </c>
    </row>
    <row r="6" s="118" customFormat="1" ht="18.4" customHeight="1" spans="1:8">
      <c r="A6" s="129" t="s">
        <v>1267</v>
      </c>
      <c r="B6" s="41">
        <f t="shared" si="0"/>
        <v>0</v>
      </c>
      <c r="C6" s="41"/>
      <c r="D6" s="41"/>
      <c r="E6" s="41"/>
      <c r="F6" s="41"/>
      <c r="G6" s="41"/>
      <c r="H6" s="41"/>
    </row>
    <row r="7" s="118" customFormat="1" ht="18.4" customHeight="1" spans="1:8">
      <c r="A7" s="127" t="s">
        <v>915</v>
      </c>
      <c r="B7" s="128">
        <f t="shared" si="0"/>
        <v>0</v>
      </c>
      <c r="C7" s="128">
        <f t="shared" ref="C7:H7" si="2">C8+C9</f>
        <v>0</v>
      </c>
      <c r="D7" s="128">
        <f t="shared" si="2"/>
        <v>0</v>
      </c>
      <c r="E7" s="128">
        <f t="shared" si="2"/>
        <v>0</v>
      </c>
      <c r="F7" s="128">
        <f t="shared" si="2"/>
        <v>0</v>
      </c>
      <c r="G7" s="128">
        <f t="shared" si="2"/>
        <v>0</v>
      </c>
      <c r="H7" s="128">
        <f t="shared" si="2"/>
        <v>0</v>
      </c>
    </row>
    <row r="8" s="118" customFormat="1" ht="18.4" customHeight="1" spans="1:8">
      <c r="A8" s="130" t="s">
        <v>1268</v>
      </c>
      <c r="B8" s="41">
        <f t="shared" si="0"/>
        <v>0</v>
      </c>
      <c r="C8" s="41"/>
      <c r="D8" s="41"/>
      <c r="E8" s="41"/>
      <c r="F8" s="41"/>
      <c r="G8" s="41"/>
      <c r="H8" s="41"/>
    </row>
    <row r="9" s="118" customFormat="1" ht="18.4" customHeight="1" spans="1:8">
      <c r="A9" s="129" t="s">
        <v>1267</v>
      </c>
      <c r="B9" s="41">
        <f t="shared" si="0"/>
        <v>0</v>
      </c>
      <c r="C9" s="41"/>
      <c r="D9" s="41"/>
      <c r="E9" s="41"/>
      <c r="F9" s="41"/>
      <c r="G9" s="41"/>
      <c r="H9" s="41"/>
    </row>
    <row r="10" s="118" customFormat="1" ht="18.4" customHeight="1" spans="1:8">
      <c r="A10" s="127" t="s">
        <v>941</v>
      </c>
      <c r="B10" s="128">
        <f t="shared" si="0"/>
        <v>50</v>
      </c>
      <c r="C10" s="128">
        <f t="shared" ref="C10:H10" si="3">SUM(C11:C14)</f>
        <v>0</v>
      </c>
      <c r="D10" s="128">
        <f t="shared" si="3"/>
        <v>0</v>
      </c>
      <c r="E10" s="128">
        <f t="shared" si="3"/>
        <v>50</v>
      </c>
      <c r="F10" s="128">
        <f t="shared" si="3"/>
        <v>0</v>
      </c>
      <c r="G10" s="128">
        <f t="shared" si="3"/>
        <v>0</v>
      </c>
      <c r="H10" s="128">
        <f t="shared" si="3"/>
        <v>0</v>
      </c>
    </row>
    <row r="11" s="118" customFormat="1" ht="18.4" customHeight="1" spans="1:8">
      <c r="A11" s="130" t="s">
        <v>1269</v>
      </c>
      <c r="B11" s="41">
        <f t="shared" si="0"/>
        <v>0</v>
      </c>
      <c r="C11" s="41"/>
      <c r="D11" s="41"/>
      <c r="E11" s="41"/>
      <c r="F11" s="41"/>
      <c r="G11" s="41"/>
      <c r="H11" s="41"/>
    </row>
    <row r="12" s="118" customFormat="1" ht="18.4" customHeight="1" spans="1:8">
      <c r="A12" s="130" t="s">
        <v>1270</v>
      </c>
      <c r="B12" s="41">
        <f t="shared" si="0"/>
        <v>50</v>
      </c>
      <c r="C12" s="41"/>
      <c r="D12" s="41"/>
      <c r="E12" s="41">
        <v>50</v>
      </c>
      <c r="F12" s="41"/>
      <c r="G12" s="41"/>
      <c r="H12" s="41"/>
    </row>
    <row r="13" s="118" customFormat="1" ht="18.4" customHeight="1" spans="1:8">
      <c r="A13" s="130" t="s">
        <v>1271</v>
      </c>
      <c r="B13" s="41">
        <f t="shared" si="0"/>
        <v>0</v>
      </c>
      <c r="C13" s="41"/>
      <c r="D13" s="41"/>
      <c r="E13" s="41"/>
      <c r="F13" s="41"/>
      <c r="G13" s="41"/>
      <c r="H13" s="41"/>
    </row>
    <row r="14" s="118" customFormat="1" ht="18.4" customHeight="1" spans="1:8">
      <c r="A14" s="129" t="s">
        <v>1267</v>
      </c>
      <c r="B14" s="41">
        <f t="shared" si="0"/>
        <v>0</v>
      </c>
      <c r="C14" s="41"/>
      <c r="D14" s="41"/>
      <c r="E14" s="41"/>
      <c r="F14" s="41"/>
      <c r="G14" s="41"/>
      <c r="H14" s="41"/>
    </row>
    <row r="15" s="118" customFormat="1" ht="18.4" customHeight="1" spans="1:8">
      <c r="A15" s="127" t="s">
        <v>1272</v>
      </c>
      <c r="B15" s="128">
        <f t="shared" si="0"/>
        <v>0</v>
      </c>
      <c r="C15" s="128">
        <f t="shared" ref="C15:H15" si="4">SUM(C16)</f>
        <v>0</v>
      </c>
      <c r="D15" s="128">
        <f t="shared" si="4"/>
        <v>0</v>
      </c>
      <c r="E15" s="128">
        <f t="shared" si="4"/>
        <v>0</v>
      </c>
      <c r="F15" s="128">
        <f t="shared" si="4"/>
        <v>0</v>
      </c>
      <c r="G15" s="128">
        <f t="shared" si="4"/>
        <v>0</v>
      </c>
      <c r="H15" s="128">
        <f t="shared" si="4"/>
        <v>0</v>
      </c>
    </row>
    <row r="16" s="118" customFormat="1" ht="18.4" customHeight="1" spans="1:8">
      <c r="A16" s="129" t="s">
        <v>1267</v>
      </c>
      <c r="B16" s="41">
        <f t="shared" si="0"/>
        <v>0</v>
      </c>
      <c r="C16" s="41"/>
      <c r="D16" s="41"/>
      <c r="E16" s="41"/>
      <c r="F16" s="41"/>
      <c r="G16" s="41"/>
      <c r="H16" s="41"/>
    </row>
    <row r="17" s="118" customFormat="1" ht="18.4" customHeight="1" spans="1:8">
      <c r="A17" s="127" t="s">
        <v>1273</v>
      </c>
      <c r="B17" s="128">
        <f t="shared" si="0"/>
        <v>0</v>
      </c>
      <c r="C17" s="128">
        <f t="shared" ref="C17:H17" si="5">SUM(C18:C20)</f>
        <v>0</v>
      </c>
      <c r="D17" s="128">
        <f t="shared" si="5"/>
        <v>0</v>
      </c>
      <c r="E17" s="128">
        <f t="shared" si="5"/>
        <v>0</v>
      </c>
      <c r="F17" s="128">
        <f t="shared" si="5"/>
        <v>0</v>
      </c>
      <c r="G17" s="128">
        <f t="shared" si="5"/>
        <v>0</v>
      </c>
      <c r="H17" s="128">
        <f t="shared" si="5"/>
        <v>0</v>
      </c>
    </row>
    <row r="18" s="118" customFormat="1" ht="18.4" customHeight="1" spans="1:8">
      <c r="A18" s="129" t="s">
        <v>1274</v>
      </c>
      <c r="B18" s="41">
        <f t="shared" si="0"/>
        <v>0</v>
      </c>
      <c r="C18" s="41"/>
      <c r="D18" s="41"/>
      <c r="E18" s="41"/>
      <c r="F18" s="41"/>
      <c r="G18" s="41"/>
      <c r="H18" s="41"/>
    </row>
    <row r="19" s="118" customFormat="1" ht="18.4" customHeight="1" spans="1:8">
      <c r="A19" s="129" t="s">
        <v>1275</v>
      </c>
      <c r="B19" s="41">
        <f t="shared" si="0"/>
        <v>0</v>
      </c>
      <c r="C19" s="41"/>
      <c r="D19" s="41"/>
      <c r="E19" s="41"/>
      <c r="F19" s="41"/>
      <c r="G19" s="41"/>
      <c r="H19" s="41"/>
    </row>
    <row r="20" s="118" customFormat="1" ht="18.4" customHeight="1" spans="1:8">
      <c r="A20" s="129" t="s">
        <v>1267</v>
      </c>
      <c r="B20" s="41">
        <f t="shared" si="0"/>
        <v>0</v>
      </c>
      <c r="C20" s="41"/>
      <c r="D20" s="41"/>
      <c r="E20" s="41"/>
      <c r="F20" s="41"/>
      <c r="G20" s="41"/>
      <c r="H20" s="41"/>
    </row>
    <row r="21" s="118" customFormat="1" ht="18.4" customHeight="1" spans="1:8">
      <c r="A21" s="127" t="s">
        <v>1276</v>
      </c>
      <c r="B21" s="128">
        <f t="shared" si="0"/>
        <v>19533</v>
      </c>
      <c r="C21" s="128">
        <f t="shared" ref="C21:H21" si="6">SUM(C22:C32)</f>
        <v>9206</v>
      </c>
      <c r="D21" s="128">
        <f t="shared" si="6"/>
        <v>0</v>
      </c>
      <c r="E21" s="128">
        <f t="shared" si="6"/>
        <v>10327</v>
      </c>
      <c r="F21" s="128">
        <f t="shared" si="6"/>
        <v>0</v>
      </c>
      <c r="G21" s="128">
        <f t="shared" si="6"/>
        <v>0</v>
      </c>
      <c r="H21" s="128">
        <f t="shared" si="6"/>
        <v>0</v>
      </c>
    </row>
    <row r="22" s="118" customFormat="1" ht="18.4" customHeight="1" spans="1:8">
      <c r="A22" s="129" t="s">
        <v>1277</v>
      </c>
      <c r="B22" s="41">
        <f t="shared" si="0"/>
        <v>17926</v>
      </c>
      <c r="C22" s="41">
        <v>8556</v>
      </c>
      <c r="D22" s="41"/>
      <c r="E22" s="41">
        <v>9370</v>
      </c>
      <c r="F22" s="41"/>
      <c r="G22" s="41"/>
      <c r="H22" s="41"/>
    </row>
    <row r="23" s="118" customFormat="1" ht="18.4" customHeight="1" spans="1:8">
      <c r="A23" s="129" t="s">
        <v>1278</v>
      </c>
      <c r="B23" s="41">
        <f t="shared" si="0"/>
        <v>0</v>
      </c>
      <c r="C23" s="41"/>
      <c r="D23" s="41"/>
      <c r="E23" s="41"/>
      <c r="F23" s="41"/>
      <c r="G23" s="41"/>
      <c r="H23" s="41"/>
    </row>
    <row r="24" s="118" customFormat="1" ht="18.4" customHeight="1" spans="1:8">
      <c r="A24" s="129" t="s">
        <v>1279</v>
      </c>
      <c r="B24" s="41">
        <f t="shared" si="0"/>
        <v>262</v>
      </c>
      <c r="C24" s="41"/>
      <c r="D24" s="41"/>
      <c r="E24" s="41">
        <v>262</v>
      </c>
      <c r="F24" s="41"/>
      <c r="G24" s="41"/>
      <c r="H24" s="41"/>
    </row>
    <row r="25" s="118" customFormat="1" ht="18.4" customHeight="1" spans="1:8">
      <c r="A25" s="129" t="s">
        <v>1280</v>
      </c>
      <c r="B25" s="41">
        <f t="shared" si="0"/>
        <v>183</v>
      </c>
      <c r="C25" s="41"/>
      <c r="D25" s="41"/>
      <c r="E25" s="41">
        <v>183</v>
      </c>
      <c r="F25" s="41"/>
      <c r="G25" s="41"/>
      <c r="H25" s="41"/>
    </row>
    <row r="26" s="118" customFormat="1" ht="18.4" customHeight="1" spans="1:8">
      <c r="A26" s="129" t="s">
        <v>1281</v>
      </c>
      <c r="B26" s="41">
        <f t="shared" si="0"/>
        <v>1162</v>
      </c>
      <c r="C26" s="41">
        <v>650</v>
      </c>
      <c r="D26" s="41"/>
      <c r="E26" s="41">
        <v>512</v>
      </c>
      <c r="F26" s="41"/>
      <c r="G26" s="41"/>
      <c r="H26" s="41"/>
    </row>
    <row r="27" s="118" customFormat="1" ht="18.4" customHeight="1" spans="1:8">
      <c r="A27" s="129" t="s">
        <v>1282</v>
      </c>
      <c r="B27" s="41">
        <f t="shared" si="0"/>
        <v>0</v>
      </c>
      <c r="C27" s="41"/>
      <c r="D27" s="41"/>
      <c r="E27" s="41"/>
      <c r="F27" s="41"/>
      <c r="G27" s="41"/>
      <c r="H27" s="41"/>
    </row>
    <row r="28" s="118" customFormat="1" ht="16" customHeight="1" spans="1:8">
      <c r="A28" s="129" t="s">
        <v>1283</v>
      </c>
      <c r="B28" s="41">
        <f t="shared" si="0"/>
        <v>0</v>
      </c>
      <c r="C28" s="41"/>
      <c r="D28" s="41"/>
      <c r="E28" s="41"/>
      <c r="F28" s="41"/>
      <c r="G28" s="41"/>
      <c r="H28" s="41"/>
    </row>
    <row r="29" s="118" customFormat="1" ht="18.4" customHeight="1" spans="1:8">
      <c r="A29" s="129" t="s">
        <v>1284</v>
      </c>
      <c r="B29" s="41">
        <f t="shared" si="0"/>
        <v>0</v>
      </c>
      <c r="C29" s="41"/>
      <c r="D29" s="41"/>
      <c r="E29" s="41"/>
      <c r="F29" s="41"/>
      <c r="G29" s="41"/>
      <c r="H29" s="41"/>
    </row>
    <row r="30" s="118" customFormat="1" ht="18.4" customHeight="1" spans="1:8">
      <c r="A30" s="129" t="s">
        <v>1285</v>
      </c>
      <c r="B30" s="41">
        <f t="shared" si="0"/>
        <v>0</v>
      </c>
      <c r="C30" s="41"/>
      <c r="D30" s="41"/>
      <c r="E30" s="41"/>
      <c r="F30" s="41"/>
      <c r="G30" s="41"/>
      <c r="H30" s="41"/>
    </row>
    <row r="31" s="118" customFormat="1" ht="18.4" customHeight="1" spans="1:8">
      <c r="A31" s="129" t="s">
        <v>1286</v>
      </c>
      <c r="B31" s="41">
        <f t="shared" si="0"/>
        <v>0</v>
      </c>
      <c r="C31" s="41"/>
      <c r="D31" s="41"/>
      <c r="E31" s="41"/>
      <c r="F31" s="41"/>
      <c r="G31" s="41"/>
      <c r="H31" s="41"/>
    </row>
    <row r="32" s="118" customFormat="1" ht="18.4" customHeight="1" spans="1:8">
      <c r="A32" s="129" t="s">
        <v>1267</v>
      </c>
      <c r="B32" s="41">
        <f t="shared" si="0"/>
        <v>0</v>
      </c>
      <c r="C32" s="41"/>
      <c r="D32" s="41"/>
      <c r="E32" s="41"/>
      <c r="F32" s="41"/>
      <c r="G32" s="41"/>
      <c r="H32" s="41"/>
    </row>
    <row r="33" s="118" customFormat="1" ht="18.4" customHeight="1" spans="1:8">
      <c r="A33" s="127" t="s">
        <v>1287</v>
      </c>
      <c r="B33" s="128">
        <f t="shared" si="0"/>
        <v>7790</v>
      </c>
      <c r="C33" s="128">
        <f t="shared" ref="C33:H33" si="7">SUM(C34:C42)</f>
        <v>0</v>
      </c>
      <c r="D33" s="128">
        <f t="shared" si="7"/>
        <v>289</v>
      </c>
      <c r="E33" s="128">
        <f t="shared" si="7"/>
        <v>7501</v>
      </c>
      <c r="F33" s="128">
        <f t="shared" si="7"/>
        <v>0</v>
      </c>
      <c r="G33" s="128">
        <f t="shared" si="7"/>
        <v>0</v>
      </c>
      <c r="H33" s="128">
        <f t="shared" si="7"/>
        <v>0</v>
      </c>
    </row>
    <row r="34" s="118" customFormat="1" ht="18.4" customHeight="1" spans="1:8">
      <c r="A34" s="129" t="s">
        <v>1288</v>
      </c>
      <c r="B34" s="41">
        <f t="shared" si="0"/>
        <v>1081</v>
      </c>
      <c r="C34" s="41"/>
      <c r="D34" s="41"/>
      <c r="E34" s="41">
        <v>1081</v>
      </c>
      <c r="F34" s="41"/>
      <c r="G34" s="41"/>
      <c r="H34" s="41"/>
    </row>
    <row r="35" s="118" customFormat="1" ht="18.4" customHeight="1" spans="1:8">
      <c r="A35" s="129" t="s">
        <v>1289</v>
      </c>
      <c r="B35" s="41">
        <f t="shared" si="0"/>
        <v>0</v>
      </c>
      <c r="C35" s="41"/>
      <c r="D35" s="41"/>
      <c r="E35" s="41"/>
      <c r="F35" s="41"/>
      <c r="G35" s="41"/>
      <c r="H35" s="41"/>
    </row>
    <row r="36" s="118" customFormat="1" ht="18.4" customHeight="1" spans="1:8">
      <c r="A36" s="129" t="s">
        <v>1290</v>
      </c>
      <c r="B36" s="41">
        <f t="shared" si="0"/>
        <v>227</v>
      </c>
      <c r="C36" s="41"/>
      <c r="D36" s="41"/>
      <c r="E36" s="41">
        <v>227</v>
      </c>
      <c r="F36" s="41"/>
      <c r="G36" s="41"/>
      <c r="H36" s="41"/>
    </row>
    <row r="37" s="118" customFormat="1" ht="18.4" customHeight="1" spans="1:8">
      <c r="A37" s="129" t="s">
        <v>1291</v>
      </c>
      <c r="B37" s="41">
        <f t="shared" si="0"/>
        <v>0</v>
      </c>
      <c r="C37" s="41"/>
      <c r="D37" s="41"/>
      <c r="E37" s="41"/>
      <c r="F37" s="41"/>
      <c r="G37" s="41"/>
      <c r="H37" s="41"/>
    </row>
    <row r="38" s="118" customFormat="1" ht="18.4" customHeight="1" spans="1:8">
      <c r="A38" s="131" t="s">
        <v>1292</v>
      </c>
      <c r="B38" s="41">
        <f t="shared" si="0"/>
        <v>0</v>
      </c>
      <c r="C38" s="41"/>
      <c r="D38" s="41"/>
      <c r="E38" s="41"/>
      <c r="F38" s="41"/>
      <c r="G38" s="41"/>
      <c r="H38" s="41"/>
    </row>
    <row r="39" s="118" customFormat="1" ht="18.4" customHeight="1" spans="1:8">
      <c r="A39" s="131" t="s">
        <v>1293</v>
      </c>
      <c r="B39" s="41">
        <f t="shared" si="0"/>
        <v>6188</v>
      </c>
      <c r="C39" s="41"/>
      <c r="D39" s="41">
        <v>289</v>
      </c>
      <c r="E39" s="41">
        <v>5899</v>
      </c>
      <c r="F39" s="41"/>
      <c r="G39" s="41"/>
      <c r="H39" s="41"/>
    </row>
    <row r="40" s="118" customFormat="1" ht="18.4" customHeight="1" spans="1:8">
      <c r="A40" s="131" t="s">
        <v>1294</v>
      </c>
      <c r="B40" s="41">
        <f t="shared" si="0"/>
        <v>294</v>
      </c>
      <c r="C40" s="41"/>
      <c r="D40" s="41"/>
      <c r="E40" s="41">
        <v>294</v>
      </c>
      <c r="F40" s="41"/>
      <c r="G40" s="41"/>
      <c r="H40" s="41"/>
    </row>
    <row r="41" s="118" customFormat="1" ht="18.4" customHeight="1" spans="1:8">
      <c r="A41" s="131" t="s">
        <v>1295</v>
      </c>
      <c r="B41" s="41">
        <f t="shared" si="0"/>
        <v>0</v>
      </c>
      <c r="C41" s="41"/>
      <c r="D41" s="41"/>
      <c r="E41" s="41"/>
      <c r="F41" s="41"/>
      <c r="G41" s="41"/>
      <c r="H41" s="41"/>
    </row>
    <row r="42" s="118" customFormat="1" ht="18.4" customHeight="1" spans="1:8">
      <c r="A42" s="131" t="s">
        <v>1267</v>
      </c>
      <c r="B42" s="41">
        <f t="shared" si="0"/>
        <v>0</v>
      </c>
      <c r="C42" s="41"/>
      <c r="D42" s="41"/>
      <c r="E42" s="41"/>
      <c r="F42" s="41"/>
      <c r="G42" s="41"/>
      <c r="H42" s="41"/>
    </row>
    <row r="43" s="118" customFormat="1" ht="18.4" customHeight="1" spans="1:8">
      <c r="A43" s="127" t="s">
        <v>1296</v>
      </c>
      <c r="B43" s="128">
        <f t="shared" si="0"/>
        <v>0</v>
      </c>
      <c r="C43" s="128">
        <f t="shared" ref="C43:H43" si="8">SUM(C44:C52)</f>
        <v>0</v>
      </c>
      <c r="D43" s="128">
        <f t="shared" si="8"/>
        <v>0</v>
      </c>
      <c r="E43" s="128">
        <f t="shared" si="8"/>
        <v>0</v>
      </c>
      <c r="F43" s="128">
        <f t="shared" si="8"/>
        <v>0</v>
      </c>
      <c r="G43" s="128">
        <f t="shared" si="8"/>
        <v>0</v>
      </c>
      <c r="H43" s="128">
        <f t="shared" si="8"/>
        <v>0</v>
      </c>
    </row>
    <row r="44" s="118" customFormat="1" ht="18.4" customHeight="1" spans="1:8">
      <c r="A44" s="129" t="s">
        <v>1297</v>
      </c>
      <c r="B44" s="41">
        <f t="shared" si="0"/>
        <v>0</v>
      </c>
      <c r="C44" s="41"/>
      <c r="D44" s="41"/>
      <c r="E44" s="41"/>
      <c r="F44" s="41"/>
      <c r="G44" s="41"/>
      <c r="H44" s="41"/>
    </row>
    <row r="45" s="118" customFormat="1" ht="18.4" customHeight="1" spans="1:8">
      <c r="A45" s="129" t="s">
        <v>1298</v>
      </c>
      <c r="B45" s="41">
        <f t="shared" si="0"/>
        <v>0</v>
      </c>
      <c r="C45" s="41"/>
      <c r="D45" s="41"/>
      <c r="E45" s="41"/>
      <c r="F45" s="41"/>
      <c r="G45" s="41"/>
      <c r="H45" s="41"/>
    </row>
    <row r="46" s="118" customFormat="1" ht="18.4" customHeight="1" spans="1:8">
      <c r="A46" s="129" t="s">
        <v>1299</v>
      </c>
      <c r="B46" s="41">
        <f t="shared" si="0"/>
        <v>0</v>
      </c>
      <c r="C46" s="41"/>
      <c r="D46" s="41"/>
      <c r="E46" s="41"/>
      <c r="F46" s="41"/>
      <c r="G46" s="41"/>
      <c r="H46" s="41"/>
    </row>
    <row r="47" s="118" customFormat="1" ht="18.4" customHeight="1" spans="1:8">
      <c r="A47" s="129" t="s">
        <v>1300</v>
      </c>
      <c r="B47" s="41">
        <f t="shared" si="0"/>
        <v>0</v>
      </c>
      <c r="C47" s="41"/>
      <c r="D47" s="41"/>
      <c r="E47" s="41"/>
      <c r="F47" s="41"/>
      <c r="G47" s="41"/>
      <c r="H47" s="41"/>
    </row>
    <row r="48" s="118" customFormat="1" ht="18.4" customHeight="1" spans="1:8">
      <c r="A48" s="129" t="s">
        <v>1301</v>
      </c>
      <c r="B48" s="41">
        <f t="shared" si="0"/>
        <v>0</v>
      </c>
      <c r="C48" s="41"/>
      <c r="D48" s="41"/>
      <c r="E48" s="41"/>
      <c r="F48" s="41"/>
      <c r="G48" s="41"/>
      <c r="H48" s="41"/>
    </row>
    <row r="49" s="118" customFormat="1" ht="18.4" customHeight="1" spans="1:8">
      <c r="A49" s="129" t="s">
        <v>1302</v>
      </c>
      <c r="B49" s="41">
        <f t="shared" si="0"/>
        <v>0</v>
      </c>
      <c r="C49" s="41"/>
      <c r="D49" s="41"/>
      <c r="E49" s="41"/>
      <c r="F49" s="41"/>
      <c r="G49" s="41"/>
      <c r="H49" s="41"/>
    </row>
    <row r="50" s="118" customFormat="1" ht="18.4" customHeight="1" spans="1:8">
      <c r="A50" s="129" t="s">
        <v>1303</v>
      </c>
      <c r="B50" s="41">
        <f t="shared" si="0"/>
        <v>0</v>
      </c>
      <c r="C50" s="41"/>
      <c r="D50" s="41"/>
      <c r="E50" s="41"/>
      <c r="F50" s="41"/>
      <c r="G50" s="41"/>
      <c r="H50" s="41"/>
    </row>
    <row r="51" s="118" customFormat="1" ht="18.4" customHeight="1" spans="1:8">
      <c r="A51" s="129" t="s">
        <v>1304</v>
      </c>
      <c r="B51" s="41">
        <f t="shared" si="0"/>
        <v>0</v>
      </c>
      <c r="C51" s="41"/>
      <c r="D51" s="41"/>
      <c r="E51" s="41"/>
      <c r="F51" s="41"/>
      <c r="G51" s="41"/>
      <c r="H51" s="41"/>
    </row>
    <row r="52" s="118" customFormat="1" ht="18.4" customHeight="1" spans="1:8">
      <c r="A52" s="129" t="s">
        <v>1267</v>
      </c>
      <c r="B52" s="41">
        <f t="shared" si="0"/>
        <v>0</v>
      </c>
      <c r="C52" s="41"/>
      <c r="D52" s="41"/>
      <c r="E52" s="41"/>
      <c r="F52" s="41"/>
      <c r="G52" s="41"/>
      <c r="H52" s="41"/>
    </row>
    <row r="53" s="118" customFormat="1" ht="18.4" customHeight="1" spans="1:8">
      <c r="A53" s="127" t="s">
        <v>1305</v>
      </c>
      <c r="B53" s="128">
        <f t="shared" si="0"/>
        <v>97</v>
      </c>
      <c r="C53" s="128">
        <f t="shared" ref="C53:H53" si="9">SUM(C54:C55)</f>
        <v>0</v>
      </c>
      <c r="D53" s="128">
        <f t="shared" si="9"/>
        <v>0</v>
      </c>
      <c r="E53" s="128">
        <f t="shared" si="9"/>
        <v>97</v>
      </c>
      <c r="F53" s="128">
        <f t="shared" si="9"/>
        <v>0</v>
      </c>
      <c r="G53" s="128">
        <f t="shared" si="9"/>
        <v>0</v>
      </c>
      <c r="H53" s="128">
        <f t="shared" si="9"/>
        <v>0</v>
      </c>
    </row>
    <row r="54" s="118" customFormat="1" ht="18.4" customHeight="1" spans="1:8">
      <c r="A54" s="129" t="s">
        <v>1306</v>
      </c>
      <c r="B54" s="41">
        <f t="shared" si="0"/>
        <v>0</v>
      </c>
      <c r="C54" s="41"/>
      <c r="D54" s="41"/>
      <c r="E54" s="41"/>
      <c r="F54" s="41"/>
      <c r="G54" s="41"/>
      <c r="H54" s="41"/>
    </row>
    <row r="55" s="118" customFormat="1" ht="18.4" customHeight="1" spans="1:8">
      <c r="A55" s="129" t="s">
        <v>1267</v>
      </c>
      <c r="B55" s="41">
        <f t="shared" si="0"/>
        <v>97</v>
      </c>
      <c r="C55" s="41"/>
      <c r="D55" s="41"/>
      <c r="E55" s="41">
        <v>97</v>
      </c>
      <c r="F55" s="41"/>
      <c r="G55" s="41"/>
      <c r="H55" s="41"/>
    </row>
    <row r="56" s="118" customFormat="1" ht="18.4" customHeight="1" spans="1:8">
      <c r="A56" s="127" t="s">
        <v>1307</v>
      </c>
      <c r="B56" s="128">
        <f t="shared" si="0"/>
        <v>0</v>
      </c>
      <c r="C56" s="128">
        <f t="shared" ref="C56:H56" si="10">SUM(C57)</f>
        <v>0</v>
      </c>
      <c r="D56" s="128">
        <f t="shared" si="10"/>
        <v>0</v>
      </c>
      <c r="E56" s="128">
        <f t="shared" si="10"/>
        <v>0</v>
      </c>
      <c r="F56" s="128">
        <f t="shared" si="10"/>
        <v>0</v>
      </c>
      <c r="G56" s="128">
        <f t="shared" si="10"/>
        <v>0</v>
      </c>
      <c r="H56" s="128">
        <f t="shared" si="10"/>
        <v>0</v>
      </c>
    </row>
    <row r="57" s="118" customFormat="1" ht="18.4" customHeight="1" spans="1:8">
      <c r="A57" s="129" t="s">
        <v>1308</v>
      </c>
      <c r="B57" s="41">
        <f t="shared" si="0"/>
        <v>0</v>
      </c>
      <c r="C57" s="41"/>
      <c r="D57" s="41"/>
      <c r="E57" s="41"/>
      <c r="F57" s="41"/>
      <c r="G57" s="41"/>
      <c r="H57" s="41"/>
    </row>
    <row r="58" s="118" customFormat="1" ht="18.4" customHeight="1" spans="1:8">
      <c r="A58" s="127" t="s">
        <v>1309</v>
      </c>
      <c r="B58" s="128">
        <f t="shared" si="0"/>
        <v>0</v>
      </c>
      <c r="C58" s="128">
        <f t="shared" ref="C58:H58" si="11">SUM(C59)</f>
        <v>0</v>
      </c>
      <c r="D58" s="128">
        <f t="shared" si="11"/>
        <v>0</v>
      </c>
      <c r="E58" s="128">
        <f t="shared" si="11"/>
        <v>0</v>
      </c>
      <c r="F58" s="128">
        <f t="shared" si="11"/>
        <v>0</v>
      </c>
      <c r="G58" s="128">
        <f t="shared" si="11"/>
        <v>0</v>
      </c>
      <c r="H58" s="128">
        <f t="shared" si="11"/>
        <v>0</v>
      </c>
    </row>
    <row r="59" s="118" customFormat="1" ht="18.4" customHeight="1" spans="1:8">
      <c r="A59" s="129" t="s">
        <v>1310</v>
      </c>
      <c r="B59" s="41">
        <f t="shared" si="0"/>
        <v>0</v>
      </c>
      <c r="C59" s="41"/>
      <c r="D59" s="41"/>
      <c r="E59" s="41"/>
      <c r="F59" s="41"/>
      <c r="G59" s="41"/>
      <c r="H59" s="41"/>
    </row>
    <row r="60" s="118" customFormat="1" ht="18.4" customHeight="1" spans="1:8">
      <c r="A60" s="127" t="s">
        <v>1311</v>
      </c>
      <c r="B60" s="128">
        <f t="shared" si="0"/>
        <v>0</v>
      </c>
      <c r="C60" s="128">
        <f t="shared" ref="C60:H60" si="12">SUM(C61)</f>
        <v>0</v>
      </c>
      <c r="D60" s="128">
        <f t="shared" si="12"/>
        <v>0</v>
      </c>
      <c r="E60" s="128">
        <f t="shared" si="12"/>
        <v>0</v>
      </c>
      <c r="F60" s="128">
        <f t="shared" si="12"/>
        <v>0</v>
      </c>
      <c r="G60" s="128">
        <f t="shared" si="12"/>
        <v>0</v>
      </c>
      <c r="H60" s="128">
        <f t="shared" si="12"/>
        <v>0</v>
      </c>
    </row>
    <row r="61" s="118" customFormat="1" ht="18.4" customHeight="1" spans="1:8">
      <c r="A61" s="129" t="s">
        <v>1267</v>
      </c>
      <c r="B61" s="41">
        <f t="shared" si="0"/>
        <v>0</v>
      </c>
      <c r="C61" s="41"/>
      <c r="D61" s="41"/>
      <c r="E61" s="41"/>
      <c r="F61" s="41"/>
      <c r="G61" s="41"/>
      <c r="H61" s="41"/>
    </row>
    <row r="62" s="118" customFormat="1" ht="18.4" customHeight="1" spans="1:8">
      <c r="A62" s="127" t="s">
        <v>1312</v>
      </c>
      <c r="B62" s="128">
        <f t="shared" si="0"/>
        <v>0</v>
      </c>
      <c r="C62" s="128">
        <f t="shared" ref="C62:H62" si="13">SUM(C63)</f>
        <v>0</v>
      </c>
      <c r="D62" s="128">
        <f t="shared" si="13"/>
        <v>0</v>
      </c>
      <c r="E62" s="128">
        <f t="shared" si="13"/>
        <v>0</v>
      </c>
      <c r="F62" s="128">
        <f t="shared" si="13"/>
        <v>0</v>
      </c>
      <c r="G62" s="128">
        <f t="shared" si="13"/>
        <v>0</v>
      </c>
      <c r="H62" s="128">
        <f t="shared" si="13"/>
        <v>0</v>
      </c>
    </row>
    <row r="63" s="118" customFormat="1" ht="18.4" customHeight="1" spans="1:8">
      <c r="A63" s="129" t="s">
        <v>1267</v>
      </c>
      <c r="B63" s="41">
        <f t="shared" si="0"/>
        <v>0</v>
      </c>
      <c r="C63" s="41"/>
      <c r="D63" s="41"/>
      <c r="E63" s="41"/>
      <c r="F63" s="41"/>
      <c r="G63" s="41"/>
      <c r="H63" s="41"/>
    </row>
    <row r="64" s="118" customFormat="1" ht="18.4" customHeight="1" spans="1:8">
      <c r="A64" s="127" t="s">
        <v>1313</v>
      </c>
      <c r="B64" s="128">
        <f t="shared" si="0"/>
        <v>0</v>
      </c>
      <c r="C64" s="128">
        <f t="shared" ref="C64:H64" si="14">SUM(C65)</f>
        <v>0</v>
      </c>
      <c r="D64" s="128">
        <f t="shared" si="14"/>
        <v>0</v>
      </c>
      <c r="E64" s="128">
        <f t="shared" si="14"/>
        <v>0</v>
      </c>
      <c r="F64" s="128">
        <f t="shared" si="14"/>
        <v>0</v>
      </c>
      <c r="G64" s="128">
        <f t="shared" si="14"/>
        <v>0</v>
      </c>
      <c r="H64" s="128">
        <f t="shared" si="14"/>
        <v>0</v>
      </c>
    </row>
    <row r="65" s="118" customFormat="1" ht="18.4" customHeight="1" spans="1:8">
      <c r="A65" s="129" t="s">
        <v>1267</v>
      </c>
      <c r="B65" s="41">
        <f t="shared" si="0"/>
        <v>0</v>
      </c>
      <c r="C65" s="41"/>
      <c r="D65" s="41"/>
      <c r="E65" s="41"/>
      <c r="F65" s="41"/>
      <c r="G65" s="41"/>
      <c r="H65" s="41"/>
    </row>
    <row r="66" s="118" customFormat="1" ht="18.4" customHeight="1" spans="1:8">
      <c r="A66" s="127" t="s">
        <v>1314</v>
      </c>
      <c r="B66" s="128">
        <f t="shared" si="0"/>
        <v>2244</v>
      </c>
      <c r="C66" s="128">
        <f t="shared" ref="C66:H66" si="15">SUM(C67:C72)</f>
        <v>0</v>
      </c>
      <c r="D66" s="128">
        <f t="shared" si="15"/>
        <v>354</v>
      </c>
      <c r="E66" s="128">
        <f t="shared" si="15"/>
        <v>1890</v>
      </c>
      <c r="F66" s="128">
        <f t="shared" si="15"/>
        <v>0</v>
      </c>
      <c r="G66" s="128">
        <f t="shared" si="15"/>
        <v>0</v>
      </c>
      <c r="H66" s="128">
        <f t="shared" si="15"/>
        <v>0</v>
      </c>
    </row>
    <row r="67" s="118" customFormat="1" ht="18.4" customHeight="1" spans="1:8">
      <c r="A67" s="129" t="s">
        <v>1315</v>
      </c>
      <c r="B67" s="41">
        <f t="shared" si="0"/>
        <v>748</v>
      </c>
      <c r="C67" s="41"/>
      <c r="D67" s="41"/>
      <c r="E67" s="41">
        <v>748</v>
      </c>
      <c r="F67" s="41"/>
      <c r="G67" s="41"/>
      <c r="H67" s="41"/>
    </row>
    <row r="68" s="118" customFormat="1" ht="18.4" customHeight="1" spans="1:8">
      <c r="A68" s="129" t="s">
        <v>1316</v>
      </c>
      <c r="B68" s="41">
        <f t="shared" si="0"/>
        <v>0</v>
      </c>
      <c r="C68" s="41"/>
      <c r="D68" s="41"/>
      <c r="E68" s="41"/>
      <c r="F68" s="41"/>
      <c r="G68" s="41"/>
      <c r="H68" s="41"/>
    </row>
    <row r="69" s="118" customFormat="1" ht="18.4" customHeight="1" spans="1:8">
      <c r="A69" s="129" t="s">
        <v>1317</v>
      </c>
      <c r="B69" s="41">
        <f t="shared" ref="B69:B84" si="16">SUM(C69:H69)</f>
        <v>0</v>
      </c>
      <c r="C69" s="41"/>
      <c r="D69" s="41"/>
      <c r="E69" s="41"/>
      <c r="F69" s="41"/>
      <c r="G69" s="41"/>
      <c r="H69" s="41"/>
    </row>
    <row r="70" s="118" customFormat="1" ht="18.4" customHeight="1" spans="1:8">
      <c r="A70" s="129" t="s">
        <v>1318</v>
      </c>
      <c r="B70" s="41">
        <f t="shared" si="16"/>
        <v>0</v>
      </c>
      <c r="C70" s="41"/>
      <c r="D70" s="41"/>
      <c r="E70" s="41"/>
      <c r="F70" s="41"/>
      <c r="G70" s="41"/>
      <c r="H70" s="41"/>
    </row>
    <row r="71" s="118" customFormat="1" ht="18.4" customHeight="1" spans="1:8">
      <c r="A71" s="129" t="s">
        <v>1319</v>
      </c>
      <c r="B71" s="41">
        <f t="shared" si="16"/>
        <v>1496</v>
      </c>
      <c r="C71" s="41"/>
      <c r="D71" s="41">
        <v>354</v>
      </c>
      <c r="E71" s="41">
        <v>1142</v>
      </c>
      <c r="F71" s="41"/>
      <c r="G71" s="41"/>
      <c r="H71" s="41"/>
    </row>
    <row r="72" s="118" customFormat="1" ht="18.4" customHeight="1" spans="1:8">
      <c r="A72" s="129" t="s">
        <v>1320</v>
      </c>
      <c r="B72" s="41">
        <f t="shared" si="16"/>
        <v>0</v>
      </c>
      <c r="C72" s="41"/>
      <c r="D72" s="41"/>
      <c r="E72" s="41"/>
      <c r="F72" s="41"/>
      <c r="G72" s="41"/>
      <c r="H72" s="41"/>
    </row>
    <row r="73" s="118" customFormat="1" ht="18.4" customHeight="1" spans="1:8">
      <c r="A73" s="127" t="s">
        <v>1321</v>
      </c>
      <c r="B73" s="128">
        <f t="shared" si="16"/>
        <v>0</v>
      </c>
      <c r="C73" s="128">
        <f t="shared" ref="C73:H73" si="17">SUM(C74:C76)</f>
        <v>0</v>
      </c>
      <c r="D73" s="128">
        <f t="shared" si="17"/>
        <v>0</v>
      </c>
      <c r="E73" s="128">
        <f t="shared" si="17"/>
        <v>0</v>
      </c>
      <c r="F73" s="128">
        <f t="shared" si="17"/>
        <v>0</v>
      </c>
      <c r="G73" s="128">
        <f t="shared" si="17"/>
        <v>0</v>
      </c>
      <c r="H73" s="128">
        <f t="shared" si="17"/>
        <v>0</v>
      </c>
    </row>
    <row r="74" s="118" customFormat="1" ht="18.4" customHeight="1" spans="1:8">
      <c r="A74" s="129" t="s">
        <v>1322</v>
      </c>
      <c r="B74" s="41">
        <f t="shared" si="16"/>
        <v>0</v>
      </c>
      <c r="C74" s="41"/>
      <c r="D74" s="41"/>
      <c r="E74" s="41"/>
      <c r="F74" s="41"/>
      <c r="G74" s="41"/>
      <c r="H74" s="41"/>
    </row>
    <row r="75" s="118" customFormat="1" ht="18.4" customHeight="1" spans="1:8">
      <c r="A75" s="129" t="s">
        <v>1323</v>
      </c>
      <c r="B75" s="41">
        <f t="shared" si="16"/>
        <v>0</v>
      </c>
      <c r="C75" s="41"/>
      <c r="D75" s="41"/>
      <c r="E75" s="41"/>
      <c r="F75" s="41"/>
      <c r="G75" s="41"/>
      <c r="H75" s="41"/>
    </row>
    <row r="76" s="118" customFormat="1" ht="18.4" customHeight="1" spans="1:8">
      <c r="A76" s="129" t="s">
        <v>1324</v>
      </c>
      <c r="B76" s="41">
        <f t="shared" si="16"/>
        <v>0</v>
      </c>
      <c r="C76" s="41"/>
      <c r="D76" s="41"/>
      <c r="E76" s="41"/>
      <c r="F76" s="41"/>
      <c r="G76" s="41"/>
      <c r="H76" s="41"/>
    </row>
    <row r="77" s="118" customFormat="1" ht="18.4" customHeight="1" spans="1:8">
      <c r="A77" s="127" t="s">
        <v>1325</v>
      </c>
      <c r="B77" s="128">
        <f t="shared" si="16"/>
        <v>2360</v>
      </c>
      <c r="C77" s="128">
        <f t="shared" ref="C77:H77" si="18">SUM(C78)</f>
        <v>2360</v>
      </c>
      <c r="D77" s="128">
        <f t="shared" si="18"/>
        <v>0</v>
      </c>
      <c r="E77" s="128">
        <f t="shared" si="18"/>
        <v>0</v>
      </c>
      <c r="F77" s="128">
        <f t="shared" si="18"/>
        <v>0</v>
      </c>
      <c r="G77" s="128">
        <f t="shared" si="18"/>
        <v>0</v>
      </c>
      <c r="H77" s="128">
        <f t="shared" si="18"/>
        <v>0</v>
      </c>
    </row>
    <row r="78" s="118" customFormat="1" ht="18.4" customHeight="1" spans="1:8">
      <c r="A78" s="129" t="s">
        <v>1326</v>
      </c>
      <c r="B78" s="41">
        <f t="shared" si="16"/>
        <v>2360</v>
      </c>
      <c r="C78" s="41">
        <v>2360</v>
      </c>
      <c r="D78" s="41"/>
      <c r="E78" s="41"/>
      <c r="F78" s="41"/>
      <c r="G78" s="41"/>
      <c r="H78" s="41"/>
    </row>
    <row r="79" s="118" customFormat="1" ht="18.4" customHeight="1" spans="1:8">
      <c r="A79" s="127" t="s">
        <v>1327</v>
      </c>
      <c r="B79" s="128">
        <f t="shared" si="16"/>
        <v>0</v>
      </c>
      <c r="C79" s="128">
        <f t="shared" ref="C79:H79" si="19">SUM(C80)</f>
        <v>0</v>
      </c>
      <c r="D79" s="128">
        <f t="shared" si="19"/>
        <v>0</v>
      </c>
      <c r="E79" s="128">
        <f t="shared" si="19"/>
        <v>0</v>
      </c>
      <c r="F79" s="128">
        <f t="shared" si="19"/>
        <v>0</v>
      </c>
      <c r="G79" s="128">
        <f t="shared" si="19"/>
        <v>0</v>
      </c>
      <c r="H79" s="128">
        <f t="shared" si="19"/>
        <v>0</v>
      </c>
    </row>
    <row r="80" s="118" customFormat="1" ht="18.4" customHeight="1" spans="1:8">
      <c r="A80" s="129" t="s">
        <v>1328</v>
      </c>
      <c r="B80" s="41">
        <f t="shared" si="16"/>
        <v>0</v>
      </c>
      <c r="C80" s="41"/>
      <c r="D80" s="41"/>
      <c r="E80" s="41"/>
      <c r="F80" s="41"/>
      <c r="G80" s="41"/>
      <c r="H80" s="41"/>
    </row>
    <row r="81" s="118" customFormat="1" ht="18.4" customHeight="1" spans="1:8">
      <c r="A81" s="127" t="s">
        <v>1329</v>
      </c>
      <c r="B81" s="128">
        <f t="shared" si="16"/>
        <v>0</v>
      </c>
      <c r="C81" s="128">
        <f t="shared" ref="C81:H81" si="20">SUM(C82:C83)</f>
        <v>0</v>
      </c>
      <c r="D81" s="128">
        <f t="shared" si="20"/>
        <v>0</v>
      </c>
      <c r="E81" s="128">
        <f t="shared" si="20"/>
        <v>0</v>
      </c>
      <c r="F81" s="128">
        <f t="shared" si="20"/>
        <v>0</v>
      </c>
      <c r="G81" s="128">
        <f t="shared" si="20"/>
        <v>0</v>
      </c>
      <c r="H81" s="128">
        <f t="shared" si="20"/>
        <v>0</v>
      </c>
    </row>
    <row r="82" s="118" customFormat="1" ht="18.4" customHeight="1" spans="1:8">
      <c r="A82" s="129" t="s">
        <v>1330</v>
      </c>
      <c r="B82" s="41">
        <f t="shared" si="16"/>
        <v>0</v>
      </c>
      <c r="C82" s="41"/>
      <c r="D82" s="41"/>
      <c r="E82" s="41"/>
      <c r="F82" s="41"/>
      <c r="G82" s="41"/>
      <c r="H82" s="41"/>
    </row>
    <row r="83" s="118" customFormat="1" ht="18.4" customHeight="1" spans="1:8">
      <c r="A83" s="129" t="s">
        <v>1331</v>
      </c>
      <c r="B83" s="41">
        <f t="shared" si="16"/>
        <v>0</v>
      </c>
      <c r="C83" s="41"/>
      <c r="D83" s="41"/>
      <c r="E83" s="41"/>
      <c r="F83" s="41"/>
      <c r="G83" s="41"/>
      <c r="H83" s="41"/>
    </row>
    <row r="84" s="118" customFormat="1" ht="18.4" customHeight="1" spans="1:8">
      <c r="A84" s="127" t="s">
        <v>1332</v>
      </c>
      <c r="B84" s="128">
        <f t="shared" si="16"/>
        <v>0</v>
      </c>
      <c r="C84" s="128"/>
      <c r="D84" s="128">
        <v>0</v>
      </c>
      <c r="E84" s="128">
        <v>0</v>
      </c>
      <c r="F84" s="128">
        <v>0</v>
      </c>
      <c r="G84" s="128">
        <v>0</v>
      </c>
      <c r="H84" s="128">
        <f>SUM(H85:H86)</f>
        <v>0</v>
      </c>
    </row>
    <row r="85" s="118" customFormat="1" ht="18.4" customHeight="1" spans="1:8">
      <c r="A85" s="129"/>
      <c r="B85" s="41"/>
      <c r="C85" s="41"/>
      <c r="D85" s="41"/>
      <c r="E85" s="41"/>
      <c r="F85" s="41"/>
      <c r="G85" s="41"/>
      <c r="H85" s="41"/>
    </row>
    <row r="86" s="118" customFormat="1" ht="18.4" customHeight="1" spans="1:8">
      <c r="A86" s="129"/>
      <c r="B86" s="41"/>
      <c r="C86" s="41"/>
      <c r="D86" s="41"/>
      <c r="E86" s="41"/>
      <c r="F86" s="41"/>
      <c r="G86" s="41"/>
      <c r="H86" s="41"/>
    </row>
    <row r="87" s="118" customFormat="1" ht="18.4" customHeight="1" spans="1:8">
      <c r="A87" s="137"/>
      <c r="B87" s="41">
        <f>SUM(C87:H87)</f>
        <v>0</v>
      </c>
      <c r="C87" s="41"/>
      <c r="D87" s="41"/>
      <c r="E87" s="41"/>
      <c r="F87" s="41"/>
      <c r="G87" s="41"/>
      <c r="H87" s="41"/>
    </row>
    <row r="88" s="119" customFormat="1" ht="18.4" customHeight="1" spans="1:8">
      <c r="A88" s="138" t="s">
        <v>1333</v>
      </c>
      <c r="B88" s="139">
        <f>SUM(C88:H88)</f>
        <v>32074</v>
      </c>
      <c r="C88" s="139">
        <f t="shared" ref="C88:H88" si="21">C5+C7+C10+C15+C17+C21+C33+C43+C53+C56+C58+C60+C62+C64+C66+C73+C77+C79+C81+C84</f>
        <v>11566</v>
      </c>
      <c r="D88" s="139">
        <f t="shared" si="21"/>
        <v>643</v>
      </c>
      <c r="E88" s="139">
        <f t="shared" si="21"/>
        <v>19865</v>
      </c>
      <c r="F88" s="139">
        <f t="shared" si="21"/>
        <v>0</v>
      </c>
      <c r="G88" s="139">
        <f t="shared" si="21"/>
        <v>0</v>
      </c>
      <c r="H88" s="139">
        <f t="shared" si="21"/>
        <v>0</v>
      </c>
    </row>
    <row r="89" ht="18.4"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sheetData>
  <mergeCells count="9">
    <mergeCell ref="A1:H1"/>
    <mergeCell ref="A3:A4"/>
    <mergeCell ref="B3:B4"/>
    <mergeCell ref="C3:C4"/>
    <mergeCell ref="D3:D4"/>
    <mergeCell ref="E3:E4"/>
    <mergeCell ref="F3:F4"/>
    <mergeCell ref="G3:G4"/>
    <mergeCell ref="H3:H4"/>
  </mergeCells>
  <printOptions horizontalCentered="1" verticalCentered="1"/>
  <pageMargins left="0.708661417322835" right="0.708661417322835" top="0.551181102362205" bottom="0.748031496062992" header="0.31496062992126" footer="0.31496062992126"/>
  <pageSetup paperSize="9" scale="63" orientation="portrait" blackAndWhite="1"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7"/>
  <sheetViews>
    <sheetView zoomScale="85" zoomScaleNormal="85" workbookViewId="0">
      <selection activeCell="L28" sqref="L28"/>
    </sheetView>
  </sheetViews>
  <sheetFormatPr defaultColWidth="12.125" defaultRowHeight="15.75"/>
  <cols>
    <col min="1" max="1" width="45.25" style="105" customWidth="1"/>
    <col min="2" max="2" width="20.5" style="105" customWidth="1"/>
    <col min="3" max="3" width="14.625" style="105" customWidth="1"/>
    <col min="4" max="4" width="15.625" style="105" customWidth="1"/>
    <col min="5" max="16384" width="12.125" style="105"/>
  </cols>
  <sheetData>
    <row r="1" s="105" customFormat="1" ht="18" customHeight="1" spans="1:4">
      <c r="A1" s="702" t="s">
        <v>38</v>
      </c>
      <c r="B1" s="108"/>
      <c r="C1" s="108"/>
      <c r="D1" s="108"/>
    </row>
    <row r="2" s="105" customFormat="1" ht="14.25" customHeight="1" spans="1:4">
      <c r="A2" s="109"/>
      <c r="B2" s="109"/>
      <c r="C2" s="109"/>
      <c r="D2" s="109"/>
    </row>
    <row r="3" s="105" customFormat="1" ht="31.5" customHeight="1" spans="1:4">
      <c r="A3" s="110"/>
      <c r="B3" s="110"/>
      <c r="C3" s="110"/>
      <c r="D3" s="110" t="s">
        <v>4883</v>
      </c>
    </row>
    <row r="4" s="105" customFormat="1" ht="30.75" customHeight="1" spans="1:4">
      <c r="A4" s="111" t="s">
        <v>4651</v>
      </c>
      <c r="B4" s="111" t="s">
        <v>4976</v>
      </c>
      <c r="C4" s="111"/>
      <c r="D4" s="111"/>
    </row>
    <row r="5" s="106" customFormat="1" ht="27.75" customHeight="1" spans="1:256">
      <c r="A5" s="112"/>
      <c r="B5" s="112" t="s">
        <v>4977</v>
      </c>
      <c r="C5" s="112" t="s">
        <v>4978</v>
      </c>
      <c r="D5" s="112" t="s">
        <v>4979</v>
      </c>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c r="IR5" s="105"/>
      <c r="IS5" s="105"/>
      <c r="IT5" s="105"/>
      <c r="IU5" s="105"/>
      <c r="IV5" s="105"/>
    </row>
    <row r="6" s="106" customFormat="1" ht="30" customHeight="1" spans="1:256">
      <c r="A6" s="113" t="s">
        <v>4889</v>
      </c>
      <c r="B6" s="114">
        <f>SUM(C6:D6)</f>
        <v>67141</v>
      </c>
      <c r="C6" s="114">
        <v>67141</v>
      </c>
      <c r="D6" s="114"/>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c r="IP6" s="105"/>
      <c r="IQ6" s="105"/>
      <c r="IR6" s="105"/>
      <c r="IS6" s="105"/>
      <c r="IT6" s="105"/>
      <c r="IU6" s="105"/>
      <c r="IV6" s="105"/>
    </row>
    <row r="7" s="106" customFormat="1" ht="30" customHeight="1" spans="1:256">
      <c r="A7" s="701" t="s">
        <v>4890</v>
      </c>
      <c r="B7" s="116">
        <v>94100</v>
      </c>
      <c r="C7" s="114"/>
      <c r="D7" s="114"/>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c r="IJ7" s="105"/>
      <c r="IK7" s="105"/>
      <c r="IL7" s="105"/>
      <c r="IM7" s="105"/>
      <c r="IN7" s="105"/>
      <c r="IO7" s="105"/>
      <c r="IP7" s="105"/>
      <c r="IQ7" s="105"/>
      <c r="IR7" s="105"/>
      <c r="IS7" s="105"/>
      <c r="IT7" s="105"/>
      <c r="IU7" s="105"/>
      <c r="IV7" s="105"/>
    </row>
    <row r="8" s="106" customFormat="1" ht="30" customHeight="1" spans="1:256">
      <c r="A8" s="701" t="s">
        <v>4980</v>
      </c>
      <c r="B8" s="114">
        <f>D8+C8</f>
        <v>26937</v>
      </c>
      <c r="C8" s="114">
        <v>26937</v>
      </c>
      <c r="D8" s="114"/>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c r="IJ8" s="105"/>
      <c r="IK8" s="105"/>
      <c r="IL8" s="105"/>
      <c r="IM8" s="105"/>
      <c r="IN8" s="105"/>
      <c r="IO8" s="105"/>
      <c r="IP8" s="105"/>
      <c r="IQ8" s="105"/>
      <c r="IR8" s="105"/>
      <c r="IS8" s="105"/>
      <c r="IT8" s="105"/>
      <c r="IU8" s="105"/>
      <c r="IV8" s="105"/>
    </row>
    <row r="9" s="106" customFormat="1" ht="30" customHeight="1" spans="1:256">
      <c r="A9" s="701" t="s">
        <v>4981</v>
      </c>
      <c r="B9" s="114">
        <f>D9+C9</f>
        <v>5782</v>
      </c>
      <c r="C9" s="114"/>
      <c r="D9" s="114">
        <v>5782</v>
      </c>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c r="IP9" s="105"/>
      <c r="IQ9" s="105"/>
      <c r="IR9" s="105"/>
      <c r="IS9" s="105"/>
      <c r="IT9" s="105"/>
      <c r="IU9" s="105"/>
      <c r="IV9" s="105"/>
    </row>
    <row r="10" s="106" customFormat="1" ht="30" customHeight="1" spans="1:256">
      <c r="A10" s="113" t="s">
        <v>4982</v>
      </c>
      <c r="B10" s="114">
        <f>C10+D10</f>
        <v>-5782</v>
      </c>
      <c r="C10" s="114"/>
      <c r="D10" s="114">
        <v>-5782</v>
      </c>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c r="IR10" s="105"/>
      <c r="IS10" s="105"/>
      <c r="IT10" s="105"/>
      <c r="IU10" s="105"/>
      <c r="IV10" s="105"/>
    </row>
    <row r="11" s="106" customFormat="1" ht="30" customHeight="1" spans="1:256">
      <c r="A11" s="113" t="s">
        <v>4894</v>
      </c>
      <c r="B11" s="114">
        <f>SUM(C11:D11)</f>
        <v>94078</v>
      </c>
      <c r="C11" s="114">
        <f>C6+C8-C9-C10</f>
        <v>94078</v>
      </c>
      <c r="D11" s="114">
        <f>D6+D8-D9-D10</f>
        <v>0</v>
      </c>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c r="IJ11" s="105"/>
      <c r="IK11" s="105"/>
      <c r="IL11" s="105"/>
      <c r="IM11" s="105"/>
      <c r="IN11" s="105"/>
      <c r="IO11" s="105"/>
      <c r="IP11" s="105"/>
      <c r="IQ11" s="105"/>
      <c r="IR11" s="105"/>
      <c r="IS11" s="105"/>
      <c r="IT11" s="105"/>
      <c r="IU11" s="105"/>
      <c r="IV11" s="105"/>
    </row>
    <row r="12" s="106" customFormat="1" ht="20.1" customHeight="1" spans="1:256">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c r="IP12" s="105"/>
      <c r="IQ12" s="105"/>
      <c r="IR12" s="105"/>
      <c r="IS12" s="105"/>
      <c r="IT12" s="105"/>
      <c r="IU12" s="105"/>
      <c r="IV12" s="105"/>
    </row>
    <row r="13" s="106" customFormat="1" ht="20.1" customHeight="1" spans="1:256">
      <c r="A13" s="10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row>
    <row r="14" s="106" customFormat="1" ht="20.1" customHeight="1" spans="1:256">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row>
    <row r="15" s="106" customFormat="1" ht="20.1" customHeight="1" spans="1:256">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c r="II15" s="105"/>
      <c r="IJ15" s="105"/>
      <c r="IK15" s="105"/>
      <c r="IL15" s="105"/>
      <c r="IM15" s="105"/>
      <c r="IN15" s="105"/>
      <c r="IO15" s="105"/>
      <c r="IP15" s="105"/>
      <c r="IQ15" s="105"/>
      <c r="IR15" s="105"/>
      <c r="IS15" s="105"/>
      <c r="IT15" s="105"/>
      <c r="IU15" s="105"/>
      <c r="IV15" s="105"/>
    </row>
    <row r="16" s="106" customFormat="1" ht="20.1" customHeight="1" spans="1:256">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row>
    <row r="17" s="106" customFormat="1" ht="20.1" customHeight="1" spans="1:256">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c r="IP17" s="105"/>
      <c r="IQ17" s="105"/>
      <c r="IR17" s="105"/>
      <c r="IS17" s="105"/>
      <c r="IT17" s="105"/>
      <c r="IU17" s="105"/>
      <c r="IV17" s="105"/>
    </row>
    <row r="18" s="106" customFormat="1" ht="20.1" customHeight="1" spans="1:256">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5"/>
      <c r="IP18" s="105"/>
      <c r="IQ18" s="105"/>
      <c r="IR18" s="105"/>
      <c r="IS18" s="105"/>
      <c r="IT18" s="105"/>
      <c r="IU18" s="105"/>
      <c r="IV18" s="105"/>
    </row>
    <row r="19" s="106" customFormat="1" ht="20.1" customHeight="1" spans="1:256">
      <c r="A19" s="105"/>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5"/>
      <c r="IP19" s="105"/>
      <c r="IQ19" s="105"/>
      <c r="IR19" s="105"/>
      <c r="IS19" s="105"/>
      <c r="IT19" s="105"/>
      <c r="IU19" s="105"/>
      <c r="IV19" s="105"/>
    </row>
    <row r="20" s="106" customFormat="1" ht="20.1" customHeight="1" spans="1:256">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5"/>
      <c r="IP20" s="105"/>
      <c r="IQ20" s="105"/>
      <c r="IR20" s="105"/>
      <c r="IS20" s="105"/>
      <c r="IT20" s="105"/>
      <c r="IU20" s="105"/>
      <c r="IV20" s="105"/>
    </row>
    <row r="21" s="106" customFormat="1" ht="20.1" customHeight="1" spans="1:256">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c r="IR21" s="105"/>
      <c r="IS21" s="105"/>
      <c r="IT21" s="105"/>
      <c r="IU21" s="105"/>
      <c r="IV21" s="105"/>
    </row>
    <row r="22" s="106" customFormat="1" ht="20.1" customHeight="1" spans="1:256">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5"/>
      <c r="IP22" s="105"/>
      <c r="IQ22" s="105"/>
      <c r="IR22" s="105"/>
      <c r="IS22" s="105"/>
      <c r="IT22" s="105"/>
      <c r="IU22" s="105"/>
      <c r="IV22" s="105"/>
    </row>
    <row r="23" s="106" customFormat="1" ht="20.1" customHeight="1" spans="1:256">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5"/>
      <c r="IP23" s="105"/>
      <c r="IQ23" s="105"/>
      <c r="IR23" s="105"/>
      <c r="IS23" s="105"/>
      <c r="IT23" s="105"/>
      <c r="IU23" s="105"/>
      <c r="IV23" s="105"/>
    </row>
    <row r="24" s="106" customFormat="1" ht="20.1" customHeight="1" spans="1:256">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c r="IP24" s="105"/>
      <c r="IQ24" s="105"/>
      <c r="IR24" s="105"/>
      <c r="IS24" s="105"/>
      <c r="IT24" s="105"/>
      <c r="IU24" s="105"/>
      <c r="IV24" s="105"/>
    </row>
    <row r="25" s="106" customFormat="1" ht="20.1" customHeight="1" spans="1:256">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c r="IP25" s="105"/>
      <c r="IQ25" s="105"/>
      <c r="IR25" s="105"/>
      <c r="IS25" s="105"/>
      <c r="IT25" s="105"/>
      <c r="IU25" s="105"/>
      <c r="IV25" s="105"/>
    </row>
    <row r="26" s="106" customFormat="1" ht="20.1" customHeight="1" spans="1:256">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c r="IP26" s="105"/>
      <c r="IQ26" s="105"/>
      <c r="IR26" s="105"/>
      <c r="IS26" s="105"/>
      <c r="IT26" s="105"/>
      <c r="IU26" s="105"/>
      <c r="IV26" s="105"/>
    </row>
    <row r="27" s="106" customFormat="1" ht="20.1" customHeight="1" spans="1:256">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c r="IP27" s="105"/>
      <c r="IQ27" s="105"/>
      <c r="IR27" s="105"/>
      <c r="IS27" s="105"/>
      <c r="IT27" s="105"/>
      <c r="IU27" s="105"/>
      <c r="IV27" s="105"/>
    </row>
    <row r="28" s="106" customFormat="1" ht="20.1" customHeight="1" spans="1:256">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c r="IP28" s="105"/>
      <c r="IQ28" s="105"/>
      <c r="IR28" s="105"/>
      <c r="IS28" s="105"/>
      <c r="IT28" s="105"/>
      <c r="IU28" s="105"/>
      <c r="IV28" s="105"/>
    </row>
    <row r="29" s="106" customFormat="1" ht="20.1" customHeight="1" spans="1:256">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c r="II29" s="105"/>
      <c r="IJ29" s="105"/>
      <c r="IK29" s="105"/>
      <c r="IL29" s="105"/>
      <c r="IM29" s="105"/>
      <c r="IN29" s="105"/>
      <c r="IO29" s="105"/>
      <c r="IP29" s="105"/>
      <c r="IQ29" s="105"/>
      <c r="IR29" s="105"/>
      <c r="IS29" s="105"/>
      <c r="IT29" s="105"/>
      <c r="IU29" s="105"/>
      <c r="IV29" s="105"/>
    </row>
    <row r="30" s="106" customFormat="1" ht="20.1" customHeight="1" spans="1:256">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c r="HZ30" s="105"/>
      <c r="IA30" s="105"/>
      <c r="IB30" s="105"/>
      <c r="IC30" s="105"/>
      <c r="ID30" s="105"/>
      <c r="IE30" s="105"/>
      <c r="IF30" s="105"/>
      <c r="IG30" s="105"/>
      <c r="IH30" s="105"/>
      <c r="II30" s="105"/>
      <c r="IJ30" s="105"/>
      <c r="IK30" s="105"/>
      <c r="IL30" s="105"/>
      <c r="IM30" s="105"/>
      <c r="IN30" s="105"/>
      <c r="IO30" s="105"/>
      <c r="IP30" s="105"/>
      <c r="IQ30" s="105"/>
      <c r="IR30" s="105"/>
      <c r="IS30" s="105"/>
      <c r="IT30" s="105"/>
      <c r="IU30" s="105"/>
      <c r="IV30" s="105"/>
    </row>
    <row r="31" s="106" customFormat="1" ht="20.1" customHeight="1" spans="1:256">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c r="HZ31" s="105"/>
      <c r="IA31" s="105"/>
      <c r="IB31" s="105"/>
      <c r="IC31" s="105"/>
      <c r="ID31" s="105"/>
      <c r="IE31" s="105"/>
      <c r="IF31" s="105"/>
      <c r="IG31" s="105"/>
      <c r="IH31" s="105"/>
      <c r="II31" s="105"/>
      <c r="IJ31" s="105"/>
      <c r="IK31" s="105"/>
      <c r="IL31" s="105"/>
      <c r="IM31" s="105"/>
      <c r="IN31" s="105"/>
      <c r="IO31" s="105"/>
      <c r="IP31" s="105"/>
      <c r="IQ31" s="105"/>
      <c r="IR31" s="105"/>
      <c r="IS31" s="105"/>
      <c r="IT31" s="105"/>
      <c r="IU31" s="105"/>
      <c r="IV31" s="105"/>
    </row>
    <row r="32" s="106" customFormat="1" ht="20.1" customHeight="1" spans="1:256">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c r="HZ32" s="105"/>
      <c r="IA32" s="105"/>
      <c r="IB32" s="105"/>
      <c r="IC32" s="105"/>
      <c r="ID32" s="105"/>
      <c r="IE32" s="105"/>
      <c r="IF32" s="105"/>
      <c r="IG32" s="105"/>
      <c r="IH32" s="105"/>
      <c r="II32" s="105"/>
      <c r="IJ32" s="105"/>
      <c r="IK32" s="105"/>
      <c r="IL32" s="105"/>
      <c r="IM32" s="105"/>
      <c r="IN32" s="105"/>
      <c r="IO32" s="105"/>
      <c r="IP32" s="105"/>
      <c r="IQ32" s="105"/>
      <c r="IR32" s="105"/>
      <c r="IS32" s="105"/>
      <c r="IT32" s="105"/>
      <c r="IU32" s="105"/>
      <c r="IV32" s="105"/>
    </row>
    <row r="33" s="106" customFormat="1" ht="20.1" customHeight="1" spans="1:256">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c r="HZ33" s="105"/>
      <c r="IA33" s="105"/>
      <c r="IB33" s="105"/>
      <c r="IC33" s="105"/>
      <c r="ID33" s="105"/>
      <c r="IE33" s="105"/>
      <c r="IF33" s="105"/>
      <c r="IG33" s="105"/>
      <c r="IH33" s="105"/>
      <c r="II33" s="105"/>
      <c r="IJ33" s="105"/>
      <c r="IK33" s="105"/>
      <c r="IL33" s="105"/>
      <c r="IM33" s="105"/>
      <c r="IN33" s="105"/>
      <c r="IO33" s="105"/>
      <c r="IP33" s="105"/>
      <c r="IQ33" s="105"/>
      <c r="IR33" s="105"/>
      <c r="IS33" s="105"/>
      <c r="IT33" s="105"/>
      <c r="IU33" s="105"/>
      <c r="IV33" s="105"/>
    </row>
    <row r="34" s="106" customFormat="1" ht="20.1" customHeight="1" spans="1:256">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c r="HZ34" s="105"/>
      <c r="IA34" s="105"/>
      <c r="IB34" s="105"/>
      <c r="IC34" s="105"/>
      <c r="ID34" s="105"/>
      <c r="IE34" s="105"/>
      <c r="IF34" s="105"/>
      <c r="IG34" s="105"/>
      <c r="IH34" s="105"/>
      <c r="II34" s="105"/>
      <c r="IJ34" s="105"/>
      <c r="IK34" s="105"/>
      <c r="IL34" s="105"/>
      <c r="IM34" s="105"/>
      <c r="IN34" s="105"/>
      <c r="IO34" s="105"/>
      <c r="IP34" s="105"/>
      <c r="IQ34" s="105"/>
      <c r="IR34" s="105"/>
      <c r="IS34" s="105"/>
      <c r="IT34" s="105"/>
      <c r="IU34" s="105"/>
      <c r="IV34" s="105"/>
    </row>
    <row r="35" s="106" customFormat="1" ht="20.1" customHeight="1" spans="1:256">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c r="HZ35" s="105"/>
      <c r="IA35" s="105"/>
      <c r="IB35" s="105"/>
      <c r="IC35" s="105"/>
      <c r="ID35" s="105"/>
      <c r="IE35" s="105"/>
      <c r="IF35" s="105"/>
      <c r="IG35" s="105"/>
      <c r="IH35" s="105"/>
      <c r="II35" s="105"/>
      <c r="IJ35" s="105"/>
      <c r="IK35" s="105"/>
      <c r="IL35" s="105"/>
      <c r="IM35" s="105"/>
      <c r="IN35" s="105"/>
      <c r="IO35" s="105"/>
      <c r="IP35" s="105"/>
      <c r="IQ35" s="105"/>
      <c r="IR35" s="105"/>
      <c r="IS35" s="105"/>
      <c r="IT35" s="105"/>
      <c r="IU35" s="105"/>
      <c r="IV35" s="105"/>
    </row>
    <row r="36" s="106" customFormat="1" ht="20.1" customHeight="1" spans="1:256">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row>
    <row r="37" s="106" customFormat="1" ht="20.1" customHeight="1" spans="1:256">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row>
    <row r="38" s="107" customFormat="1" ht="20.1" customHeight="1" spans="1:256">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row>
    <row r="39" s="106" customFormat="1" ht="20.1" customHeight="1" spans="1:256">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row>
    <row r="40" s="106" customFormat="1" ht="20.1" customHeight="1" spans="1:256">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c r="HZ40" s="105"/>
      <c r="IA40" s="105"/>
      <c r="IB40" s="105"/>
      <c r="IC40" s="105"/>
      <c r="ID40" s="105"/>
      <c r="IE40" s="105"/>
      <c r="IF40" s="105"/>
      <c r="IG40" s="105"/>
      <c r="IH40" s="105"/>
      <c r="II40" s="105"/>
      <c r="IJ40" s="105"/>
      <c r="IK40" s="105"/>
      <c r="IL40" s="105"/>
      <c r="IM40" s="105"/>
      <c r="IN40" s="105"/>
      <c r="IO40" s="105"/>
      <c r="IP40" s="105"/>
      <c r="IQ40" s="105"/>
      <c r="IR40" s="105"/>
      <c r="IS40" s="105"/>
      <c r="IT40" s="105"/>
      <c r="IU40" s="105"/>
      <c r="IV40" s="105"/>
    </row>
    <row r="41" s="106" customFormat="1" ht="20.1" customHeight="1" spans="1:256">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c r="II41" s="105"/>
      <c r="IJ41" s="105"/>
      <c r="IK41" s="105"/>
      <c r="IL41" s="105"/>
      <c r="IM41" s="105"/>
      <c r="IN41" s="105"/>
      <c r="IO41" s="105"/>
      <c r="IP41" s="105"/>
      <c r="IQ41" s="105"/>
      <c r="IR41" s="105"/>
      <c r="IS41" s="105"/>
      <c r="IT41" s="105"/>
      <c r="IU41" s="105"/>
      <c r="IV41" s="105"/>
    </row>
    <row r="42" s="106" customFormat="1" ht="20.1" customHeight="1" spans="1:256">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c r="HZ42" s="105"/>
      <c r="IA42" s="105"/>
      <c r="IB42" s="105"/>
      <c r="IC42" s="105"/>
      <c r="ID42" s="105"/>
      <c r="IE42" s="105"/>
      <c r="IF42" s="105"/>
      <c r="IG42" s="105"/>
      <c r="IH42" s="105"/>
      <c r="II42" s="105"/>
      <c r="IJ42" s="105"/>
      <c r="IK42" s="105"/>
      <c r="IL42" s="105"/>
      <c r="IM42" s="105"/>
      <c r="IN42" s="105"/>
      <c r="IO42" s="105"/>
      <c r="IP42" s="105"/>
      <c r="IQ42" s="105"/>
      <c r="IR42" s="105"/>
      <c r="IS42" s="105"/>
      <c r="IT42" s="105"/>
      <c r="IU42" s="105"/>
      <c r="IV42" s="105"/>
    </row>
    <row r="43" s="106" customFormat="1" ht="20.1" customHeight="1" spans="1:256">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c r="HZ43" s="105"/>
      <c r="IA43" s="105"/>
      <c r="IB43" s="105"/>
      <c r="IC43" s="105"/>
      <c r="ID43" s="105"/>
      <c r="IE43" s="105"/>
      <c r="IF43" s="105"/>
      <c r="IG43" s="105"/>
      <c r="IH43" s="105"/>
      <c r="II43" s="105"/>
      <c r="IJ43" s="105"/>
      <c r="IK43" s="105"/>
      <c r="IL43" s="105"/>
      <c r="IM43" s="105"/>
      <c r="IN43" s="105"/>
      <c r="IO43" s="105"/>
      <c r="IP43" s="105"/>
      <c r="IQ43" s="105"/>
      <c r="IR43" s="105"/>
      <c r="IS43" s="105"/>
      <c r="IT43" s="105"/>
      <c r="IU43" s="105"/>
      <c r="IV43" s="105"/>
    </row>
    <row r="44" s="106" customFormat="1" ht="20.1" customHeight="1" spans="1:256">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c r="HZ44" s="105"/>
      <c r="IA44" s="105"/>
      <c r="IB44" s="105"/>
      <c r="IC44" s="105"/>
      <c r="ID44" s="105"/>
      <c r="IE44" s="105"/>
      <c r="IF44" s="105"/>
      <c r="IG44" s="105"/>
      <c r="IH44" s="105"/>
      <c r="II44" s="105"/>
      <c r="IJ44" s="105"/>
      <c r="IK44" s="105"/>
      <c r="IL44" s="105"/>
      <c r="IM44" s="105"/>
      <c r="IN44" s="105"/>
      <c r="IO44" s="105"/>
      <c r="IP44" s="105"/>
      <c r="IQ44" s="105"/>
      <c r="IR44" s="105"/>
      <c r="IS44" s="105"/>
      <c r="IT44" s="105"/>
      <c r="IU44" s="105"/>
      <c r="IV44" s="105"/>
    </row>
    <row r="45" s="106" customFormat="1" ht="20.1" customHeight="1" spans="1:256">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c r="HZ45" s="105"/>
      <c r="IA45" s="105"/>
      <c r="IB45" s="105"/>
      <c r="IC45" s="105"/>
      <c r="ID45" s="105"/>
      <c r="IE45" s="105"/>
      <c r="IF45" s="105"/>
      <c r="IG45" s="105"/>
      <c r="IH45" s="105"/>
      <c r="II45" s="105"/>
      <c r="IJ45" s="105"/>
      <c r="IK45" s="105"/>
      <c r="IL45" s="105"/>
      <c r="IM45" s="105"/>
      <c r="IN45" s="105"/>
      <c r="IO45" s="105"/>
      <c r="IP45" s="105"/>
      <c r="IQ45" s="105"/>
      <c r="IR45" s="105"/>
      <c r="IS45" s="105"/>
      <c r="IT45" s="105"/>
      <c r="IU45" s="105"/>
      <c r="IV45" s="105"/>
    </row>
    <row r="46" s="106" customFormat="1" ht="20.1" customHeight="1" spans="1:256">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c r="ID46" s="105"/>
      <c r="IE46" s="105"/>
      <c r="IF46" s="105"/>
      <c r="IG46" s="105"/>
      <c r="IH46" s="105"/>
      <c r="II46" s="105"/>
      <c r="IJ46" s="105"/>
      <c r="IK46" s="105"/>
      <c r="IL46" s="105"/>
      <c r="IM46" s="105"/>
      <c r="IN46" s="105"/>
      <c r="IO46" s="105"/>
      <c r="IP46" s="105"/>
      <c r="IQ46" s="105"/>
      <c r="IR46" s="105"/>
      <c r="IS46" s="105"/>
      <c r="IT46" s="105"/>
      <c r="IU46" s="105"/>
      <c r="IV46" s="105"/>
    </row>
    <row r="47" s="106" customFormat="1" ht="20.1" customHeight="1" spans="1:256">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c r="HZ47" s="105"/>
      <c r="IA47" s="105"/>
      <c r="IB47" s="105"/>
      <c r="IC47" s="105"/>
      <c r="ID47" s="105"/>
      <c r="IE47" s="105"/>
      <c r="IF47" s="105"/>
      <c r="IG47" s="105"/>
      <c r="IH47" s="105"/>
      <c r="II47" s="105"/>
      <c r="IJ47" s="105"/>
      <c r="IK47" s="105"/>
      <c r="IL47" s="105"/>
      <c r="IM47" s="105"/>
      <c r="IN47" s="105"/>
      <c r="IO47" s="105"/>
      <c r="IP47" s="105"/>
      <c r="IQ47" s="105"/>
      <c r="IR47" s="105"/>
      <c r="IS47" s="105"/>
      <c r="IT47" s="105"/>
      <c r="IU47" s="105"/>
      <c r="IV47" s="105"/>
    </row>
    <row r="48" s="106" customFormat="1" ht="20.1" customHeight="1" spans="1:256">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c r="HZ48" s="105"/>
      <c r="IA48" s="105"/>
      <c r="IB48" s="105"/>
      <c r="IC48" s="105"/>
      <c r="ID48" s="105"/>
      <c r="IE48" s="105"/>
      <c r="IF48" s="105"/>
      <c r="IG48" s="105"/>
      <c r="IH48" s="105"/>
      <c r="II48" s="105"/>
      <c r="IJ48" s="105"/>
      <c r="IK48" s="105"/>
      <c r="IL48" s="105"/>
      <c r="IM48" s="105"/>
      <c r="IN48" s="105"/>
      <c r="IO48" s="105"/>
      <c r="IP48" s="105"/>
      <c r="IQ48" s="105"/>
      <c r="IR48" s="105"/>
      <c r="IS48" s="105"/>
      <c r="IT48" s="105"/>
      <c r="IU48" s="105"/>
      <c r="IV48" s="105"/>
    </row>
    <row r="49" s="106" customFormat="1" ht="20.1" customHeight="1" spans="1:256">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5"/>
      <c r="IB49" s="105"/>
      <c r="IC49" s="105"/>
      <c r="ID49" s="105"/>
      <c r="IE49" s="105"/>
      <c r="IF49" s="105"/>
      <c r="IG49" s="105"/>
      <c r="IH49" s="105"/>
      <c r="II49" s="105"/>
      <c r="IJ49" s="105"/>
      <c r="IK49" s="105"/>
      <c r="IL49" s="105"/>
      <c r="IM49" s="105"/>
      <c r="IN49" s="105"/>
      <c r="IO49" s="105"/>
      <c r="IP49" s="105"/>
      <c r="IQ49" s="105"/>
      <c r="IR49" s="105"/>
      <c r="IS49" s="105"/>
      <c r="IT49" s="105"/>
      <c r="IU49" s="105"/>
      <c r="IV49" s="105"/>
    </row>
    <row r="50" s="106" customFormat="1" ht="20.1" customHeight="1" spans="1:256">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c r="HZ50" s="105"/>
      <c r="IA50" s="105"/>
      <c r="IB50" s="105"/>
      <c r="IC50" s="105"/>
      <c r="ID50" s="105"/>
      <c r="IE50" s="105"/>
      <c r="IF50" s="105"/>
      <c r="IG50" s="105"/>
      <c r="IH50" s="105"/>
      <c r="II50" s="105"/>
      <c r="IJ50" s="105"/>
      <c r="IK50" s="105"/>
      <c r="IL50" s="105"/>
      <c r="IM50" s="105"/>
      <c r="IN50" s="105"/>
      <c r="IO50" s="105"/>
      <c r="IP50" s="105"/>
      <c r="IQ50" s="105"/>
      <c r="IR50" s="105"/>
      <c r="IS50" s="105"/>
      <c r="IT50" s="105"/>
      <c r="IU50" s="105"/>
      <c r="IV50" s="105"/>
    </row>
    <row r="51" s="106" customFormat="1" ht="20.1" customHeight="1" spans="1:256">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c r="II51" s="105"/>
      <c r="IJ51" s="105"/>
      <c r="IK51" s="105"/>
      <c r="IL51" s="105"/>
      <c r="IM51" s="105"/>
      <c r="IN51" s="105"/>
      <c r="IO51" s="105"/>
      <c r="IP51" s="105"/>
      <c r="IQ51" s="105"/>
      <c r="IR51" s="105"/>
      <c r="IS51" s="105"/>
      <c r="IT51" s="105"/>
      <c r="IU51" s="105"/>
      <c r="IV51" s="105"/>
    </row>
    <row r="52" s="106" customFormat="1" ht="20.1" customHeight="1" spans="1:256">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c r="HZ52" s="105"/>
      <c r="IA52" s="105"/>
      <c r="IB52" s="105"/>
      <c r="IC52" s="105"/>
      <c r="ID52" s="105"/>
      <c r="IE52" s="105"/>
      <c r="IF52" s="105"/>
      <c r="IG52" s="105"/>
      <c r="IH52" s="105"/>
      <c r="II52" s="105"/>
      <c r="IJ52" s="105"/>
      <c r="IK52" s="105"/>
      <c r="IL52" s="105"/>
      <c r="IM52" s="105"/>
      <c r="IN52" s="105"/>
      <c r="IO52" s="105"/>
      <c r="IP52" s="105"/>
      <c r="IQ52" s="105"/>
      <c r="IR52" s="105"/>
      <c r="IS52" s="105"/>
      <c r="IT52" s="105"/>
      <c r="IU52" s="105"/>
      <c r="IV52" s="105"/>
    </row>
    <row r="53" s="106" customFormat="1" ht="20.1" customHeight="1" spans="1:256">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c r="HZ53" s="105"/>
      <c r="IA53" s="105"/>
      <c r="IB53" s="105"/>
      <c r="IC53" s="105"/>
      <c r="ID53" s="105"/>
      <c r="IE53" s="105"/>
      <c r="IF53" s="105"/>
      <c r="IG53" s="105"/>
      <c r="IH53" s="105"/>
      <c r="II53" s="105"/>
      <c r="IJ53" s="105"/>
      <c r="IK53" s="105"/>
      <c r="IL53" s="105"/>
      <c r="IM53" s="105"/>
      <c r="IN53" s="105"/>
      <c r="IO53" s="105"/>
      <c r="IP53" s="105"/>
      <c r="IQ53" s="105"/>
      <c r="IR53" s="105"/>
      <c r="IS53" s="105"/>
      <c r="IT53" s="105"/>
      <c r="IU53" s="105"/>
      <c r="IV53" s="105"/>
    </row>
    <row r="54" s="106" customFormat="1" ht="20.1" customHeight="1" spans="1:256">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c r="HZ54" s="105"/>
      <c r="IA54" s="105"/>
      <c r="IB54" s="105"/>
      <c r="IC54" s="105"/>
      <c r="ID54" s="105"/>
      <c r="IE54" s="105"/>
      <c r="IF54" s="105"/>
      <c r="IG54" s="105"/>
      <c r="IH54" s="105"/>
      <c r="II54" s="105"/>
      <c r="IJ54" s="105"/>
      <c r="IK54" s="105"/>
      <c r="IL54" s="105"/>
      <c r="IM54" s="105"/>
      <c r="IN54" s="105"/>
      <c r="IO54" s="105"/>
      <c r="IP54" s="105"/>
      <c r="IQ54" s="105"/>
      <c r="IR54" s="105"/>
      <c r="IS54" s="105"/>
      <c r="IT54" s="105"/>
      <c r="IU54" s="105"/>
      <c r="IV54" s="105"/>
    </row>
    <row r="55" s="106" customFormat="1" ht="20.1" customHeight="1" spans="1:256">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c r="HZ55" s="105"/>
      <c r="IA55" s="105"/>
      <c r="IB55" s="105"/>
      <c r="IC55" s="105"/>
      <c r="ID55" s="105"/>
      <c r="IE55" s="105"/>
      <c r="IF55" s="105"/>
      <c r="IG55" s="105"/>
      <c r="IH55" s="105"/>
      <c r="II55" s="105"/>
      <c r="IJ55" s="105"/>
      <c r="IK55" s="105"/>
      <c r="IL55" s="105"/>
      <c r="IM55" s="105"/>
      <c r="IN55" s="105"/>
      <c r="IO55" s="105"/>
      <c r="IP55" s="105"/>
      <c r="IQ55" s="105"/>
      <c r="IR55" s="105"/>
      <c r="IS55" s="105"/>
      <c r="IT55" s="105"/>
      <c r="IU55" s="105"/>
      <c r="IV55" s="105"/>
    </row>
    <row r="56" s="106" customFormat="1" ht="20.1" customHeight="1" spans="1:256">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c r="GF56" s="105"/>
      <c r="GG56" s="105"/>
      <c r="GH56" s="105"/>
      <c r="GI56" s="105"/>
      <c r="GJ56" s="105"/>
      <c r="GK56" s="105"/>
      <c r="GL56" s="105"/>
      <c r="GM56" s="105"/>
      <c r="GN56" s="105"/>
      <c r="GO56" s="105"/>
      <c r="GP56" s="105"/>
      <c r="GQ56" s="105"/>
      <c r="GR56" s="105"/>
      <c r="GS56" s="105"/>
      <c r="GT56" s="105"/>
      <c r="GU56" s="105"/>
      <c r="GV56" s="105"/>
      <c r="GW56" s="105"/>
      <c r="GX56" s="105"/>
      <c r="GY56" s="105"/>
      <c r="GZ56" s="105"/>
      <c r="HA56" s="105"/>
      <c r="HB56" s="105"/>
      <c r="HC56" s="105"/>
      <c r="HD56" s="105"/>
      <c r="HE56" s="105"/>
      <c r="HF56" s="105"/>
      <c r="HG56" s="105"/>
      <c r="HH56" s="105"/>
      <c r="HI56" s="105"/>
      <c r="HJ56" s="105"/>
      <c r="HK56" s="105"/>
      <c r="HL56" s="105"/>
      <c r="HM56" s="105"/>
      <c r="HN56" s="105"/>
      <c r="HO56" s="105"/>
      <c r="HP56" s="105"/>
      <c r="HQ56" s="105"/>
      <c r="HR56" s="105"/>
      <c r="HS56" s="105"/>
      <c r="HT56" s="105"/>
      <c r="HU56" s="105"/>
      <c r="HV56" s="105"/>
      <c r="HW56" s="105"/>
      <c r="HX56" s="105"/>
      <c r="HY56" s="105"/>
      <c r="HZ56" s="105"/>
      <c r="IA56" s="105"/>
      <c r="IB56" s="105"/>
      <c r="IC56" s="105"/>
      <c r="ID56" s="105"/>
      <c r="IE56" s="105"/>
      <c r="IF56" s="105"/>
      <c r="IG56" s="105"/>
      <c r="IH56" s="105"/>
      <c r="II56" s="105"/>
      <c r="IJ56" s="105"/>
      <c r="IK56" s="105"/>
      <c r="IL56" s="105"/>
      <c r="IM56" s="105"/>
      <c r="IN56" s="105"/>
      <c r="IO56" s="105"/>
      <c r="IP56" s="105"/>
      <c r="IQ56" s="105"/>
      <c r="IR56" s="105"/>
      <c r="IS56" s="105"/>
      <c r="IT56" s="105"/>
      <c r="IU56" s="105"/>
      <c r="IV56" s="105"/>
    </row>
    <row r="57" s="106" customFormat="1" ht="20.1" customHeight="1" spans="1:256">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c r="HZ57" s="105"/>
      <c r="IA57" s="105"/>
      <c r="IB57" s="105"/>
      <c r="IC57" s="105"/>
      <c r="ID57" s="105"/>
      <c r="IE57" s="105"/>
      <c r="IF57" s="105"/>
      <c r="IG57" s="105"/>
      <c r="IH57" s="105"/>
      <c r="II57" s="105"/>
      <c r="IJ57" s="105"/>
      <c r="IK57" s="105"/>
      <c r="IL57" s="105"/>
      <c r="IM57" s="105"/>
      <c r="IN57" s="105"/>
      <c r="IO57" s="105"/>
      <c r="IP57" s="105"/>
      <c r="IQ57" s="105"/>
      <c r="IR57" s="105"/>
      <c r="IS57" s="105"/>
      <c r="IT57" s="105"/>
      <c r="IU57" s="105"/>
      <c r="IV57" s="105"/>
    </row>
    <row r="58" s="106" customFormat="1" ht="20.1" customHeight="1" spans="1:256">
      <c r="A58" s="105"/>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c r="GF58" s="105"/>
      <c r="GG58" s="105"/>
      <c r="GH58" s="105"/>
      <c r="GI58" s="105"/>
      <c r="GJ58" s="105"/>
      <c r="GK58" s="105"/>
      <c r="GL58" s="105"/>
      <c r="GM58" s="105"/>
      <c r="GN58" s="105"/>
      <c r="GO58" s="105"/>
      <c r="GP58" s="105"/>
      <c r="GQ58" s="105"/>
      <c r="GR58" s="105"/>
      <c r="GS58" s="105"/>
      <c r="GT58" s="105"/>
      <c r="GU58" s="105"/>
      <c r="GV58" s="105"/>
      <c r="GW58" s="105"/>
      <c r="GX58" s="105"/>
      <c r="GY58" s="105"/>
      <c r="GZ58" s="105"/>
      <c r="HA58" s="105"/>
      <c r="HB58" s="105"/>
      <c r="HC58" s="105"/>
      <c r="HD58" s="105"/>
      <c r="HE58" s="105"/>
      <c r="HF58" s="105"/>
      <c r="HG58" s="105"/>
      <c r="HH58" s="105"/>
      <c r="HI58" s="105"/>
      <c r="HJ58" s="105"/>
      <c r="HK58" s="105"/>
      <c r="HL58" s="105"/>
      <c r="HM58" s="105"/>
      <c r="HN58" s="105"/>
      <c r="HO58" s="105"/>
      <c r="HP58" s="105"/>
      <c r="HQ58" s="105"/>
      <c r="HR58" s="105"/>
      <c r="HS58" s="105"/>
      <c r="HT58" s="105"/>
      <c r="HU58" s="105"/>
      <c r="HV58" s="105"/>
      <c r="HW58" s="105"/>
      <c r="HX58" s="105"/>
      <c r="HY58" s="105"/>
      <c r="HZ58" s="105"/>
      <c r="IA58" s="105"/>
      <c r="IB58" s="105"/>
      <c r="IC58" s="105"/>
      <c r="ID58" s="105"/>
      <c r="IE58" s="105"/>
      <c r="IF58" s="105"/>
      <c r="IG58" s="105"/>
      <c r="IH58" s="105"/>
      <c r="II58" s="105"/>
      <c r="IJ58" s="105"/>
      <c r="IK58" s="105"/>
      <c r="IL58" s="105"/>
      <c r="IM58" s="105"/>
      <c r="IN58" s="105"/>
      <c r="IO58" s="105"/>
      <c r="IP58" s="105"/>
      <c r="IQ58" s="105"/>
      <c r="IR58" s="105"/>
      <c r="IS58" s="105"/>
      <c r="IT58" s="105"/>
      <c r="IU58" s="105"/>
      <c r="IV58" s="105"/>
    </row>
    <row r="59" s="106" customFormat="1" ht="20.1" customHeight="1" spans="1:256">
      <c r="A59" s="105"/>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c r="GF59" s="105"/>
      <c r="GG59" s="105"/>
      <c r="GH59" s="105"/>
      <c r="GI59" s="105"/>
      <c r="GJ59" s="105"/>
      <c r="GK59" s="105"/>
      <c r="GL59" s="105"/>
      <c r="GM59" s="105"/>
      <c r="GN59" s="105"/>
      <c r="GO59" s="105"/>
      <c r="GP59" s="105"/>
      <c r="GQ59" s="105"/>
      <c r="GR59" s="105"/>
      <c r="GS59" s="105"/>
      <c r="GT59" s="105"/>
      <c r="GU59" s="105"/>
      <c r="GV59" s="105"/>
      <c r="GW59" s="105"/>
      <c r="GX59" s="105"/>
      <c r="GY59" s="105"/>
      <c r="GZ59" s="105"/>
      <c r="HA59" s="105"/>
      <c r="HB59" s="105"/>
      <c r="HC59" s="105"/>
      <c r="HD59" s="105"/>
      <c r="HE59" s="105"/>
      <c r="HF59" s="105"/>
      <c r="HG59" s="105"/>
      <c r="HH59" s="105"/>
      <c r="HI59" s="105"/>
      <c r="HJ59" s="105"/>
      <c r="HK59" s="105"/>
      <c r="HL59" s="105"/>
      <c r="HM59" s="105"/>
      <c r="HN59" s="105"/>
      <c r="HO59" s="105"/>
      <c r="HP59" s="105"/>
      <c r="HQ59" s="105"/>
      <c r="HR59" s="105"/>
      <c r="HS59" s="105"/>
      <c r="HT59" s="105"/>
      <c r="HU59" s="105"/>
      <c r="HV59" s="105"/>
      <c r="HW59" s="105"/>
      <c r="HX59" s="105"/>
      <c r="HY59" s="105"/>
      <c r="HZ59" s="105"/>
      <c r="IA59" s="105"/>
      <c r="IB59" s="105"/>
      <c r="IC59" s="105"/>
      <c r="ID59" s="105"/>
      <c r="IE59" s="105"/>
      <c r="IF59" s="105"/>
      <c r="IG59" s="105"/>
      <c r="IH59" s="105"/>
      <c r="II59" s="105"/>
      <c r="IJ59" s="105"/>
      <c r="IK59" s="105"/>
      <c r="IL59" s="105"/>
      <c r="IM59" s="105"/>
      <c r="IN59" s="105"/>
      <c r="IO59" s="105"/>
      <c r="IP59" s="105"/>
      <c r="IQ59" s="105"/>
      <c r="IR59" s="105"/>
      <c r="IS59" s="105"/>
      <c r="IT59" s="105"/>
      <c r="IU59" s="105"/>
      <c r="IV59" s="105"/>
    </row>
    <row r="60" s="106" customFormat="1" ht="20.1" customHeight="1" spans="1:256">
      <c r="A60" s="105"/>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row>
    <row r="61" s="106" customFormat="1" ht="20.1" customHeight="1" spans="1:256">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c r="GF61" s="105"/>
      <c r="GG61" s="105"/>
      <c r="GH61" s="105"/>
      <c r="GI61" s="105"/>
      <c r="GJ61" s="105"/>
      <c r="GK61" s="105"/>
      <c r="GL61" s="105"/>
      <c r="GM61" s="105"/>
      <c r="GN61" s="105"/>
      <c r="GO61" s="105"/>
      <c r="GP61" s="105"/>
      <c r="GQ61" s="105"/>
      <c r="GR61" s="105"/>
      <c r="GS61" s="105"/>
      <c r="GT61" s="105"/>
      <c r="GU61" s="105"/>
      <c r="GV61" s="105"/>
      <c r="GW61" s="105"/>
      <c r="GX61" s="105"/>
      <c r="GY61" s="105"/>
      <c r="GZ61" s="105"/>
      <c r="HA61" s="105"/>
      <c r="HB61" s="105"/>
      <c r="HC61" s="105"/>
      <c r="HD61" s="105"/>
      <c r="HE61" s="105"/>
      <c r="HF61" s="105"/>
      <c r="HG61" s="105"/>
      <c r="HH61" s="105"/>
      <c r="HI61" s="105"/>
      <c r="HJ61" s="105"/>
      <c r="HK61" s="105"/>
      <c r="HL61" s="105"/>
      <c r="HM61" s="105"/>
      <c r="HN61" s="105"/>
      <c r="HO61" s="105"/>
      <c r="HP61" s="105"/>
      <c r="HQ61" s="105"/>
      <c r="HR61" s="105"/>
      <c r="HS61" s="105"/>
      <c r="HT61" s="105"/>
      <c r="HU61" s="105"/>
      <c r="HV61" s="105"/>
      <c r="HW61" s="105"/>
      <c r="HX61" s="105"/>
      <c r="HY61" s="105"/>
      <c r="HZ61" s="105"/>
      <c r="IA61" s="105"/>
      <c r="IB61" s="105"/>
      <c r="IC61" s="105"/>
      <c r="ID61" s="105"/>
      <c r="IE61" s="105"/>
      <c r="IF61" s="105"/>
      <c r="IG61" s="105"/>
      <c r="IH61" s="105"/>
      <c r="II61" s="105"/>
      <c r="IJ61" s="105"/>
      <c r="IK61" s="105"/>
      <c r="IL61" s="105"/>
      <c r="IM61" s="105"/>
      <c r="IN61" s="105"/>
      <c r="IO61" s="105"/>
      <c r="IP61" s="105"/>
      <c r="IQ61" s="105"/>
      <c r="IR61" s="105"/>
      <c r="IS61" s="105"/>
      <c r="IT61" s="105"/>
      <c r="IU61" s="105"/>
      <c r="IV61" s="105"/>
    </row>
    <row r="62" s="106" customFormat="1" ht="20.1" customHeight="1" spans="1:256">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row>
    <row r="63" s="106" customFormat="1" ht="20.1" customHeight="1" spans="1:256">
      <c r="A63" s="105"/>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c r="HZ63" s="105"/>
      <c r="IA63" s="105"/>
      <c r="IB63" s="105"/>
      <c r="IC63" s="105"/>
      <c r="ID63" s="105"/>
      <c r="IE63" s="105"/>
      <c r="IF63" s="105"/>
      <c r="IG63" s="105"/>
      <c r="IH63" s="105"/>
      <c r="II63" s="105"/>
      <c r="IJ63" s="105"/>
      <c r="IK63" s="105"/>
      <c r="IL63" s="105"/>
      <c r="IM63" s="105"/>
      <c r="IN63" s="105"/>
      <c r="IO63" s="105"/>
      <c r="IP63" s="105"/>
      <c r="IQ63" s="105"/>
      <c r="IR63" s="105"/>
      <c r="IS63" s="105"/>
      <c r="IT63" s="105"/>
      <c r="IU63" s="105"/>
      <c r="IV63" s="105"/>
    </row>
    <row r="64" s="106" customFormat="1" ht="20.1" customHeight="1" spans="1:256">
      <c r="A64" s="10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c r="HZ64" s="105"/>
      <c r="IA64" s="105"/>
      <c r="IB64" s="105"/>
      <c r="IC64" s="105"/>
      <c r="ID64" s="105"/>
      <c r="IE64" s="105"/>
      <c r="IF64" s="105"/>
      <c r="IG64" s="105"/>
      <c r="IH64" s="105"/>
      <c r="II64" s="105"/>
      <c r="IJ64" s="105"/>
      <c r="IK64" s="105"/>
      <c r="IL64" s="105"/>
      <c r="IM64" s="105"/>
      <c r="IN64" s="105"/>
      <c r="IO64" s="105"/>
      <c r="IP64" s="105"/>
      <c r="IQ64" s="105"/>
      <c r="IR64" s="105"/>
      <c r="IS64" s="105"/>
      <c r="IT64" s="105"/>
      <c r="IU64" s="105"/>
      <c r="IV64" s="105"/>
    </row>
    <row r="65" s="106" customFormat="1" ht="20.1" customHeight="1" spans="1:256">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c r="GF65" s="105"/>
      <c r="GG65" s="105"/>
      <c r="GH65" s="105"/>
      <c r="GI65" s="105"/>
      <c r="GJ65" s="105"/>
      <c r="GK65" s="105"/>
      <c r="GL65" s="105"/>
      <c r="GM65" s="105"/>
      <c r="GN65" s="105"/>
      <c r="GO65" s="105"/>
      <c r="GP65" s="105"/>
      <c r="GQ65" s="105"/>
      <c r="GR65" s="105"/>
      <c r="GS65" s="105"/>
      <c r="GT65" s="105"/>
      <c r="GU65" s="105"/>
      <c r="GV65" s="105"/>
      <c r="GW65" s="105"/>
      <c r="GX65" s="105"/>
      <c r="GY65" s="105"/>
      <c r="GZ65" s="105"/>
      <c r="HA65" s="105"/>
      <c r="HB65" s="105"/>
      <c r="HC65" s="105"/>
      <c r="HD65" s="105"/>
      <c r="HE65" s="105"/>
      <c r="HF65" s="105"/>
      <c r="HG65" s="105"/>
      <c r="HH65" s="105"/>
      <c r="HI65" s="105"/>
      <c r="HJ65" s="105"/>
      <c r="HK65" s="105"/>
      <c r="HL65" s="105"/>
      <c r="HM65" s="105"/>
      <c r="HN65" s="105"/>
      <c r="HO65" s="105"/>
      <c r="HP65" s="105"/>
      <c r="HQ65" s="105"/>
      <c r="HR65" s="105"/>
      <c r="HS65" s="105"/>
      <c r="HT65" s="105"/>
      <c r="HU65" s="105"/>
      <c r="HV65" s="105"/>
      <c r="HW65" s="105"/>
      <c r="HX65" s="105"/>
      <c r="HY65" s="105"/>
      <c r="HZ65" s="105"/>
      <c r="IA65" s="105"/>
      <c r="IB65" s="105"/>
      <c r="IC65" s="105"/>
      <c r="ID65" s="105"/>
      <c r="IE65" s="105"/>
      <c r="IF65" s="105"/>
      <c r="IG65" s="105"/>
      <c r="IH65" s="105"/>
      <c r="II65" s="105"/>
      <c r="IJ65" s="105"/>
      <c r="IK65" s="105"/>
      <c r="IL65" s="105"/>
      <c r="IM65" s="105"/>
      <c r="IN65" s="105"/>
      <c r="IO65" s="105"/>
      <c r="IP65" s="105"/>
      <c r="IQ65" s="105"/>
      <c r="IR65" s="105"/>
      <c r="IS65" s="105"/>
      <c r="IT65" s="105"/>
      <c r="IU65" s="105"/>
      <c r="IV65" s="105"/>
    </row>
    <row r="66" s="106" customFormat="1" ht="20.1" customHeight="1" spans="1:256">
      <c r="A66" s="105"/>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c r="GF66" s="105"/>
      <c r="GG66" s="105"/>
      <c r="GH66" s="105"/>
      <c r="GI66" s="105"/>
      <c r="GJ66" s="105"/>
      <c r="GK66" s="105"/>
      <c r="GL66" s="105"/>
      <c r="GM66" s="105"/>
      <c r="GN66" s="105"/>
      <c r="GO66" s="105"/>
      <c r="GP66" s="105"/>
      <c r="GQ66" s="105"/>
      <c r="GR66" s="105"/>
      <c r="GS66" s="105"/>
      <c r="GT66" s="105"/>
      <c r="GU66" s="105"/>
      <c r="GV66" s="105"/>
      <c r="GW66" s="105"/>
      <c r="GX66" s="105"/>
      <c r="GY66" s="105"/>
      <c r="GZ66" s="105"/>
      <c r="HA66" s="105"/>
      <c r="HB66" s="105"/>
      <c r="HC66" s="105"/>
      <c r="HD66" s="105"/>
      <c r="HE66" s="105"/>
      <c r="HF66" s="105"/>
      <c r="HG66" s="105"/>
      <c r="HH66" s="105"/>
      <c r="HI66" s="105"/>
      <c r="HJ66" s="105"/>
      <c r="HK66" s="105"/>
      <c r="HL66" s="105"/>
      <c r="HM66" s="105"/>
      <c r="HN66" s="105"/>
      <c r="HO66" s="105"/>
      <c r="HP66" s="105"/>
      <c r="HQ66" s="105"/>
      <c r="HR66" s="105"/>
      <c r="HS66" s="105"/>
      <c r="HT66" s="105"/>
      <c r="HU66" s="105"/>
      <c r="HV66" s="105"/>
      <c r="HW66" s="105"/>
      <c r="HX66" s="105"/>
      <c r="HY66" s="105"/>
      <c r="HZ66" s="105"/>
      <c r="IA66" s="105"/>
      <c r="IB66" s="105"/>
      <c r="IC66" s="105"/>
      <c r="ID66" s="105"/>
      <c r="IE66" s="105"/>
      <c r="IF66" s="105"/>
      <c r="IG66" s="105"/>
      <c r="IH66" s="105"/>
      <c r="II66" s="105"/>
      <c r="IJ66" s="105"/>
      <c r="IK66" s="105"/>
      <c r="IL66" s="105"/>
      <c r="IM66" s="105"/>
      <c r="IN66" s="105"/>
      <c r="IO66" s="105"/>
      <c r="IP66" s="105"/>
      <c r="IQ66" s="105"/>
      <c r="IR66" s="105"/>
      <c r="IS66" s="105"/>
      <c r="IT66" s="105"/>
      <c r="IU66" s="105"/>
      <c r="IV66" s="105"/>
    </row>
    <row r="67" s="106" customFormat="1" ht="20.1" customHeight="1" spans="1:256">
      <c r="A67" s="105"/>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c r="HZ67" s="105"/>
      <c r="IA67" s="105"/>
      <c r="IB67" s="105"/>
      <c r="IC67" s="105"/>
      <c r="ID67" s="105"/>
      <c r="IE67" s="105"/>
      <c r="IF67" s="105"/>
      <c r="IG67" s="105"/>
      <c r="IH67" s="105"/>
      <c r="II67" s="105"/>
      <c r="IJ67" s="105"/>
      <c r="IK67" s="105"/>
      <c r="IL67" s="105"/>
      <c r="IM67" s="105"/>
      <c r="IN67" s="105"/>
      <c r="IO67" s="105"/>
      <c r="IP67" s="105"/>
      <c r="IQ67" s="105"/>
      <c r="IR67" s="105"/>
      <c r="IS67" s="105"/>
      <c r="IT67" s="105"/>
      <c r="IU67" s="105"/>
      <c r="IV67" s="105"/>
    </row>
    <row r="68" s="106" customFormat="1" ht="20.1" customHeight="1" spans="1:256">
      <c r="A68" s="105"/>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c r="GF68" s="105"/>
      <c r="GG68" s="105"/>
      <c r="GH68" s="105"/>
      <c r="GI68" s="105"/>
      <c r="GJ68" s="105"/>
      <c r="GK68" s="105"/>
      <c r="GL68" s="105"/>
      <c r="GM68" s="105"/>
      <c r="GN68" s="105"/>
      <c r="GO68" s="105"/>
      <c r="GP68" s="105"/>
      <c r="GQ68" s="105"/>
      <c r="GR68" s="105"/>
      <c r="GS68" s="105"/>
      <c r="GT68" s="105"/>
      <c r="GU68" s="105"/>
      <c r="GV68" s="105"/>
      <c r="GW68" s="105"/>
      <c r="GX68" s="105"/>
      <c r="GY68" s="105"/>
      <c r="GZ68" s="105"/>
      <c r="HA68" s="105"/>
      <c r="HB68" s="105"/>
      <c r="HC68" s="105"/>
      <c r="HD68" s="105"/>
      <c r="HE68" s="105"/>
      <c r="HF68" s="105"/>
      <c r="HG68" s="105"/>
      <c r="HH68" s="105"/>
      <c r="HI68" s="105"/>
      <c r="HJ68" s="105"/>
      <c r="HK68" s="105"/>
      <c r="HL68" s="105"/>
      <c r="HM68" s="105"/>
      <c r="HN68" s="105"/>
      <c r="HO68" s="105"/>
      <c r="HP68" s="105"/>
      <c r="HQ68" s="105"/>
      <c r="HR68" s="105"/>
      <c r="HS68" s="105"/>
      <c r="HT68" s="105"/>
      <c r="HU68" s="105"/>
      <c r="HV68" s="105"/>
      <c r="HW68" s="105"/>
      <c r="HX68" s="105"/>
      <c r="HY68" s="105"/>
      <c r="HZ68" s="105"/>
      <c r="IA68" s="105"/>
      <c r="IB68" s="105"/>
      <c r="IC68" s="105"/>
      <c r="ID68" s="105"/>
      <c r="IE68" s="105"/>
      <c r="IF68" s="105"/>
      <c r="IG68" s="105"/>
      <c r="IH68" s="105"/>
      <c r="II68" s="105"/>
      <c r="IJ68" s="105"/>
      <c r="IK68" s="105"/>
      <c r="IL68" s="105"/>
      <c r="IM68" s="105"/>
      <c r="IN68" s="105"/>
      <c r="IO68" s="105"/>
      <c r="IP68" s="105"/>
      <c r="IQ68" s="105"/>
      <c r="IR68" s="105"/>
      <c r="IS68" s="105"/>
      <c r="IT68" s="105"/>
      <c r="IU68" s="105"/>
      <c r="IV68" s="105"/>
    </row>
    <row r="69" s="106" customFormat="1" ht="20.1" customHeight="1" spans="1:256">
      <c r="A69" s="105"/>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c r="GF69" s="105"/>
      <c r="GG69" s="105"/>
      <c r="GH69" s="105"/>
      <c r="GI69" s="105"/>
      <c r="GJ69" s="105"/>
      <c r="GK69" s="105"/>
      <c r="GL69" s="105"/>
      <c r="GM69" s="105"/>
      <c r="GN69" s="105"/>
      <c r="GO69" s="105"/>
      <c r="GP69" s="105"/>
      <c r="GQ69" s="105"/>
      <c r="GR69" s="105"/>
      <c r="GS69" s="105"/>
      <c r="GT69" s="105"/>
      <c r="GU69" s="105"/>
      <c r="GV69" s="105"/>
      <c r="GW69" s="105"/>
      <c r="GX69" s="105"/>
      <c r="GY69" s="105"/>
      <c r="GZ69" s="105"/>
      <c r="HA69" s="105"/>
      <c r="HB69" s="105"/>
      <c r="HC69" s="105"/>
      <c r="HD69" s="105"/>
      <c r="HE69" s="105"/>
      <c r="HF69" s="105"/>
      <c r="HG69" s="105"/>
      <c r="HH69" s="105"/>
      <c r="HI69" s="105"/>
      <c r="HJ69" s="105"/>
      <c r="HK69" s="105"/>
      <c r="HL69" s="105"/>
      <c r="HM69" s="105"/>
      <c r="HN69" s="105"/>
      <c r="HO69" s="105"/>
      <c r="HP69" s="105"/>
      <c r="HQ69" s="105"/>
      <c r="HR69" s="105"/>
      <c r="HS69" s="105"/>
      <c r="HT69" s="105"/>
      <c r="HU69" s="105"/>
      <c r="HV69" s="105"/>
      <c r="HW69" s="105"/>
      <c r="HX69" s="105"/>
      <c r="HY69" s="105"/>
      <c r="HZ69" s="105"/>
      <c r="IA69" s="105"/>
      <c r="IB69" s="105"/>
      <c r="IC69" s="105"/>
      <c r="ID69" s="105"/>
      <c r="IE69" s="105"/>
      <c r="IF69" s="105"/>
      <c r="IG69" s="105"/>
      <c r="IH69" s="105"/>
      <c r="II69" s="105"/>
      <c r="IJ69" s="105"/>
      <c r="IK69" s="105"/>
      <c r="IL69" s="105"/>
      <c r="IM69" s="105"/>
      <c r="IN69" s="105"/>
      <c r="IO69" s="105"/>
      <c r="IP69" s="105"/>
      <c r="IQ69" s="105"/>
      <c r="IR69" s="105"/>
      <c r="IS69" s="105"/>
      <c r="IT69" s="105"/>
      <c r="IU69" s="105"/>
      <c r="IV69" s="105"/>
    </row>
    <row r="70" s="106" customFormat="1" ht="20.1" customHeight="1" spans="1:256">
      <c r="A70" s="105"/>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c r="GF70" s="105"/>
      <c r="GG70" s="105"/>
      <c r="GH70" s="105"/>
      <c r="GI70" s="105"/>
      <c r="GJ70" s="105"/>
      <c r="GK70" s="105"/>
      <c r="GL70" s="105"/>
      <c r="GM70" s="105"/>
      <c r="GN70" s="105"/>
      <c r="GO70" s="105"/>
      <c r="GP70" s="105"/>
      <c r="GQ70" s="105"/>
      <c r="GR70" s="105"/>
      <c r="GS70" s="105"/>
      <c r="GT70" s="105"/>
      <c r="GU70" s="105"/>
      <c r="GV70" s="105"/>
      <c r="GW70" s="105"/>
      <c r="GX70" s="105"/>
      <c r="GY70" s="105"/>
      <c r="GZ70" s="105"/>
      <c r="HA70" s="105"/>
      <c r="HB70" s="105"/>
      <c r="HC70" s="105"/>
      <c r="HD70" s="105"/>
      <c r="HE70" s="105"/>
      <c r="HF70" s="105"/>
      <c r="HG70" s="105"/>
      <c r="HH70" s="105"/>
      <c r="HI70" s="105"/>
      <c r="HJ70" s="105"/>
      <c r="HK70" s="105"/>
      <c r="HL70" s="105"/>
      <c r="HM70" s="105"/>
      <c r="HN70" s="105"/>
      <c r="HO70" s="105"/>
      <c r="HP70" s="105"/>
      <c r="HQ70" s="105"/>
      <c r="HR70" s="105"/>
      <c r="HS70" s="105"/>
      <c r="HT70" s="105"/>
      <c r="HU70" s="105"/>
      <c r="HV70" s="105"/>
      <c r="HW70" s="105"/>
      <c r="HX70" s="105"/>
      <c r="HY70" s="105"/>
      <c r="HZ70" s="105"/>
      <c r="IA70" s="105"/>
      <c r="IB70" s="105"/>
      <c r="IC70" s="105"/>
      <c r="ID70" s="105"/>
      <c r="IE70" s="105"/>
      <c r="IF70" s="105"/>
      <c r="IG70" s="105"/>
      <c r="IH70" s="105"/>
      <c r="II70" s="105"/>
      <c r="IJ70" s="105"/>
      <c r="IK70" s="105"/>
      <c r="IL70" s="105"/>
      <c r="IM70" s="105"/>
      <c r="IN70" s="105"/>
      <c r="IO70" s="105"/>
      <c r="IP70" s="105"/>
      <c r="IQ70" s="105"/>
      <c r="IR70" s="105"/>
      <c r="IS70" s="105"/>
      <c r="IT70" s="105"/>
      <c r="IU70" s="105"/>
      <c r="IV70" s="105"/>
    </row>
    <row r="71" s="106" customFormat="1" ht="20.1" customHeight="1" spans="1:256">
      <c r="A71" s="105"/>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c r="GF71" s="105"/>
      <c r="GG71" s="105"/>
      <c r="GH71" s="105"/>
      <c r="GI71" s="105"/>
      <c r="GJ71" s="105"/>
      <c r="GK71" s="105"/>
      <c r="GL71" s="105"/>
      <c r="GM71" s="105"/>
      <c r="GN71" s="105"/>
      <c r="GO71" s="105"/>
      <c r="GP71" s="105"/>
      <c r="GQ71" s="105"/>
      <c r="GR71" s="105"/>
      <c r="GS71" s="105"/>
      <c r="GT71" s="105"/>
      <c r="GU71" s="105"/>
      <c r="GV71" s="105"/>
      <c r="GW71" s="105"/>
      <c r="GX71" s="105"/>
      <c r="GY71" s="105"/>
      <c r="GZ71" s="105"/>
      <c r="HA71" s="105"/>
      <c r="HB71" s="105"/>
      <c r="HC71" s="105"/>
      <c r="HD71" s="105"/>
      <c r="HE71" s="105"/>
      <c r="HF71" s="105"/>
      <c r="HG71" s="105"/>
      <c r="HH71" s="105"/>
      <c r="HI71" s="105"/>
      <c r="HJ71" s="105"/>
      <c r="HK71" s="105"/>
      <c r="HL71" s="105"/>
      <c r="HM71" s="105"/>
      <c r="HN71" s="105"/>
      <c r="HO71" s="105"/>
      <c r="HP71" s="105"/>
      <c r="HQ71" s="105"/>
      <c r="HR71" s="105"/>
      <c r="HS71" s="105"/>
      <c r="HT71" s="105"/>
      <c r="HU71" s="105"/>
      <c r="HV71" s="105"/>
      <c r="HW71" s="105"/>
      <c r="HX71" s="105"/>
      <c r="HY71" s="105"/>
      <c r="HZ71" s="105"/>
      <c r="IA71" s="105"/>
      <c r="IB71" s="105"/>
      <c r="IC71" s="105"/>
      <c r="ID71" s="105"/>
      <c r="IE71" s="105"/>
      <c r="IF71" s="105"/>
      <c r="IG71" s="105"/>
      <c r="IH71" s="105"/>
      <c r="II71" s="105"/>
      <c r="IJ71" s="105"/>
      <c r="IK71" s="105"/>
      <c r="IL71" s="105"/>
      <c r="IM71" s="105"/>
      <c r="IN71" s="105"/>
      <c r="IO71" s="105"/>
      <c r="IP71" s="105"/>
      <c r="IQ71" s="105"/>
      <c r="IR71" s="105"/>
      <c r="IS71" s="105"/>
      <c r="IT71" s="105"/>
      <c r="IU71" s="105"/>
      <c r="IV71" s="105"/>
    </row>
    <row r="72" s="106" customFormat="1" ht="20.1" customHeight="1" spans="1:256">
      <c r="A72" s="105"/>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c r="GF72" s="105"/>
      <c r="GG72" s="105"/>
      <c r="GH72" s="105"/>
      <c r="GI72" s="105"/>
      <c r="GJ72" s="105"/>
      <c r="GK72" s="105"/>
      <c r="GL72" s="105"/>
      <c r="GM72" s="105"/>
      <c r="GN72" s="105"/>
      <c r="GO72" s="105"/>
      <c r="GP72" s="105"/>
      <c r="GQ72" s="105"/>
      <c r="GR72" s="105"/>
      <c r="GS72" s="105"/>
      <c r="GT72" s="105"/>
      <c r="GU72" s="105"/>
      <c r="GV72" s="105"/>
      <c r="GW72" s="105"/>
      <c r="GX72" s="105"/>
      <c r="GY72" s="105"/>
      <c r="GZ72" s="105"/>
      <c r="HA72" s="105"/>
      <c r="HB72" s="105"/>
      <c r="HC72" s="105"/>
      <c r="HD72" s="105"/>
      <c r="HE72" s="105"/>
      <c r="HF72" s="105"/>
      <c r="HG72" s="105"/>
      <c r="HH72" s="105"/>
      <c r="HI72" s="105"/>
      <c r="HJ72" s="105"/>
      <c r="HK72" s="105"/>
      <c r="HL72" s="105"/>
      <c r="HM72" s="105"/>
      <c r="HN72" s="105"/>
      <c r="HO72" s="105"/>
      <c r="HP72" s="105"/>
      <c r="HQ72" s="105"/>
      <c r="HR72" s="105"/>
      <c r="HS72" s="105"/>
      <c r="HT72" s="105"/>
      <c r="HU72" s="105"/>
      <c r="HV72" s="105"/>
      <c r="HW72" s="105"/>
      <c r="HX72" s="105"/>
      <c r="HY72" s="105"/>
      <c r="HZ72" s="105"/>
      <c r="IA72" s="105"/>
      <c r="IB72" s="105"/>
      <c r="IC72" s="105"/>
      <c r="ID72" s="105"/>
      <c r="IE72" s="105"/>
      <c r="IF72" s="105"/>
      <c r="IG72" s="105"/>
      <c r="IH72" s="105"/>
      <c r="II72" s="105"/>
      <c r="IJ72" s="105"/>
      <c r="IK72" s="105"/>
      <c r="IL72" s="105"/>
      <c r="IM72" s="105"/>
      <c r="IN72" s="105"/>
      <c r="IO72" s="105"/>
      <c r="IP72" s="105"/>
      <c r="IQ72" s="105"/>
      <c r="IR72" s="105"/>
      <c r="IS72" s="105"/>
      <c r="IT72" s="105"/>
      <c r="IU72" s="105"/>
      <c r="IV72" s="105"/>
    </row>
    <row r="73" s="106" customFormat="1" ht="20.1" customHeight="1" spans="1:256">
      <c r="A73" s="105"/>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c r="GF73" s="105"/>
      <c r="GG73" s="105"/>
      <c r="GH73" s="105"/>
      <c r="GI73" s="105"/>
      <c r="GJ73" s="105"/>
      <c r="GK73" s="105"/>
      <c r="GL73" s="105"/>
      <c r="GM73" s="105"/>
      <c r="GN73" s="105"/>
      <c r="GO73" s="105"/>
      <c r="GP73" s="105"/>
      <c r="GQ73" s="105"/>
      <c r="GR73" s="105"/>
      <c r="GS73" s="105"/>
      <c r="GT73" s="105"/>
      <c r="GU73" s="105"/>
      <c r="GV73" s="105"/>
      <c r="GW73" s="105"/>
      <c r="GX73" s="105"/>
      <c r="GY73" s="105"/>
      <c r="GZ73" s="105"/>
      <c r="HA73" s="105"/>
      <c r="HB73" s="105"/>
      <c r="HC73" s="105"/>
      <c r="HD73" s="105"/>
      <c r="HE73" s="105"/>
      <c r="HF73" s="105"/>
      <c r="HG73" s="105"/>
      <c r="HH73" s="105"/>
      <c r="HI73" s="105"/>
      <c r="HJ73" s="105"/>
      <c r="HK73" s="105"/>
      <c r="HL73" s="105"/>
      <c r="HM73" s="105"/>
      <c r="HN73" s="105"/>
      <c r="HO73" s="105"/>
      <c r="HP73" s="105"/>
      <c r="HQ73" s="105"/>
      <c r="HR73" s="105"/>
      <c r="HS73" s="105"/>
      <c r="HT73" s="105"/>
      <c r="HU73" s="105"/>
      <c r="HV73" s="105"/>
      <c r="HW73" s="105"/>
      <c r="HX73" s="105"/>
      <c r="HY73" s="105"/>
      <c r="HZ73" s="105"/>
      <c r="IA73" s="105"/>
      <c r="IB73" s="105"/>
      <c r="IC73" s="105"/>
      <c r="ID73" s="105"/>
      <c r="IE73" s="105"/>
      <c r="IF73" s="105"/>
      <c r="IG73" s="105"/>
      <c r="IH73" s="105"/>
      <c r="II73" s="105"/>
      <c r="IJ73" s="105"/>
      <c r="IK73" s="105"/>
      <c r="IL73" s="105"/>
      <c r="IM73" s="105"/>
      <c r="IN73" s="105"/>
      <c r="IO73" s="105"/>
      <c r="IP73" s="105"/>
      <c r="IQ73" s="105"/>
      <c r="IR73" s="105"/>
      <c r="IS73" s="105"/>
      <c r="IT73" s="105"/>
      <c r="IU73" s="105"/>
      <c r="IV73" s="105"/>
    </row>
    <row r="74" s="106" customFormat="1" ht="20.1" customHeight="1" spans="1:256">
      <c r="A74" s="10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c r="HA74" s="105"/>
      <c r="HB74" s="105"/>
      <c r="HC74" s="105"/>
      <c r="HD74" s="105"/>
      <c r="HE74" s="105"/>
      <c r="HF74" s="105"/>
      <c r="HG74" s="105"/>
      <c r="HH74" s="105"/>
      <c r="HI74" s="105"/>
      <c r="HJ74" s="105"/>
      <c r="HK74" s="105"/>
      <c r="HL74" s="105"/>
      <c r="HM74" s="105"/>
      <c r="HN74" s="105"/>
      <c r="HO74" s="105"/>
      <c r="HP74" s="105"/>
      <c r="HQ74" s="105"/>
      <c r="HR74" s="105"/>
      <c r="HS74" s="105"/>
      <c r="HT74" s="105"/>
      <c r="HU74" s="105"/>
      <c r="HV74" s="105"/>
      <c r="HW74" s="105"/>
      <c r="HX74" s="105"/>
      <c r="HY74" s="105"/>
      <c r="HZ74" s="105"/>
      <c r="IA74" s="105"/>
      <c r="IB74" s="105"/>
      <c r="IC74" s="105"/>
      <c r="ID74" s="105"/>
      <c r="IE74" s="105"/>
      <c r="IF74" s="105"/>
      <c r="IG74" s="105"/>
      <c r="IH74" s="105"/>
      <c r="II74" s="105"/>
      <c r="IJ74" s="105"/>
      <c r="IK74" s="105"/>
      <c r="IL74" s="105"/>
      <c r="IM74" s="105"/>
      <c r="IN74" s="105"/>
      <c r="IO74" s="105"/>
      <c r="IP74" s="105"/>
      <c r="IQ74" s="105"/>
      <c r="IR74" s="105"/>
      <c r="IS74" s="105"/>
      <c r="IT74" s="105"/>
      <c r="IU74" s="105"/>
      <c r="IV74" s="105"/>
    </row>
    <row r="75" s="106" customFormat="1" ht="20.1" customHeight="1" spans="1:256">
      <c r="A75" s="105"/>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05"/>
      <c r="GM75" s="105"/>
      <c r="GN75" s="105"/>
      <c r="GO75" s="105"/>
      <c r="GP75" s="105"/>
      <c r="GQ75" s="105"/>
      <c r="GR75" s="105"/>
      <c r="GS75" s="105"/>
      <c r="GT75" s="105"/>
      <c r="GU75" s="105"/>
      <c r="GV75" s="105"/>
      <c r="GW75" s="105"/>
      <c r="GX75" s="105"/>
      <c r="GY75" s="105"/>
      <c r="GZ75" s="105"/>
      <c r="HA75" s="105"/>
      <c r="HB75" s="105"/>
      <c r="HC75" s="105"/>
      <c r="HD75" s="105"/>
      <c r="HE75" s="105"/>
      <c r="HF75" s="105"/>
      <c r="HG75" s="105"/>
      <c r="HH75" s="105"/>
      <c r="HI75" s="105"/>
      <c r="HJ75" s="105"/>
      <c r="HK75" s="105"/>
      <c r="HL75" s="105"/>
      <c r="HM75" s="105"/>
      <c r="HN75" s="105"/>
      <c r="HO75" s="105"/>
      <c r="HP75" s="105"/>
      <c r="HQ75" s="105"/>
      <c r="HR75" s="105"/>
      <c r="HS75" s="105"/>
      <c r="HT75" s="105"/>
      <c r="HU75" s="105"/>
      <c r="HV75" s="105"/>
      <c r="HW75" s="105"/>
      <c r="HX75" s="105"/>
      <c r="HY75" s="105"/>
      <c r="HZ75" s="105"/>
      <c r="IA75" s="105"/>
      <c r="IB75" s="105"/>
      <c r="IC75" s="105"/>
      <c r="ID75" s="105"/>
      <c r="IE75" s="105"/>
      <c r="IF75" s="105"/>
      <c r="IG75" s="105"/>
      <c r="IH75" s="105"/>
      <c r="II75" s="105"/>
      <c r="IJ75" s="105"/>
      <c r="IK75" s="105"/>
      <c r="IL75" s="105"/>
      <c r="IM75" s="105"/>
      <c r="IN75" s="105"/>
      <c r="IO75" s="105"/>
      <c r="IP75" s="105"/>
      <c r="IQ75" s="105"/>
      <c r="IR75" s="105"/>
      <c r="IS75" s="105"/>
      <c r="IT75" s="105"/>
      <c r="IU75" s="105"/>
      <c r="IV75" s="105"/>
    </row>
    <row r="76" s="106" customFormat="1" ht="20.1" customHeight="1" spans="1:256">
      <c r="A76" s="105"/>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05"/>
      <c r="GM76" s="105"/>
      <c r="GN76" s="105"/>
      <c r="GO76" s="105"/>
      <c r="GP76" s="105"/>
      <c r="GQ76" s="105"/>
      <c r="GR76" s="105"/>
      <c r="GS76" s="105"/>
      <c r="GT76" s="105"/>
      <c r="GU76" s="105"/>
      <c r="GV76" s="105"/>
      <c r="GW76" s="105"/>
      <c r="GX76" s="105"/>
      <c r="GY76" s="105"/>
      <c r="GZ76" s="105"/>
      <c r="HA76" s="105"/>
      <c r="HB76" s="105"/>
      <c r="HC76" s="105"/>
      <c r="HD76" s="105"/>
      <c r="HE76" s="105"/>
      <c r="HF76" s="105"/>
      <c r="HG76" s="105"/>
      <c r="HH76" s="105"/>
      <c r="HI76" s="105"/>
      <c r="HJ76" s="105"/>
      <c r="HK76" s="105"/>
      <c r="HL76" s="105"/>
      <c r="HM76" s="105"/>
      <c r="HN76" s="105"/>
      <c r="HO76" s="105"/>
      <c r="HP76" s="105"/>
      <c r="HQ76" s="105"/>
      <c r="HR76" s="105"/>
      <c r="HS76" s="105"/>
      <c r="HT76" s="105"/>
      <c r="HU76" s="105"/>
      <c r="HV76" s="105"/>
      <c r="HW76" s="105"/>
      <c r="HX76" s="105"/>
      <c r="HY76" s="105"/>
      <c r="HZ76" s="105"/>
      <c r="IA76" s="105"/>
      <c r="IB76" s="105"/>
      <c r="IC76" s="105"/>
      <c r="ID76" s="105"/>
      <c r="IE76" s="105"/>
      <c r="IF76" s="105"/>
      <c r="IG76" s="105"/>
      <c r="IH76" s="105"/>
      <c r="II76" s="105"/>
      <c r="IJ76" s="105"/>
      <c r="IK76" s="105"/>
      <c r="IL76" s="105"/>
      <c r="IM76" s="105"/>
      <c r="IN76" s="105"/>
      <c r="IO76" s="105"/>
      <c r="IP76" s="105"/>
      <c r="IQ76" s="105"/>
      <c r="IR76" s="105"/>
      <c r="IS76" s="105"/>
      <c r="IT76" s="105"/>
      <c r="IU76" s="105"/>
      <c r="IV76" s="105"/>
    </row>
    <row r="77" s="106" customFormat="1" ht="20.1" customHeight="1" spans="1:256">
      <c r="A77" s="10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c r="HZ77" s="105"/>
      <c r="IA77" s="105"/>
      <c r="IB77" s="105"/>
      <c r="IC77" s="105"/>
      <c r="ID77" s="105"/>
      <c r="IE77" s="105"/>
      <c r="IF77" s="105"/>
      <c r="IG77" s="105"/>
      <c r="IH77" s="105"/>
      <c r="II77" s="105"/>
      <c r="IJ77" s="105"/>
      <c r="IK77" s="105"/>
      <c r="IL77" s="105"/>
      <c r="IM77" s="105"/>
      <c r="IN77" s="105"/>
      <c r="IO77" s="105"/>
      <c r="IP77" s="105"/>
      <c r="IQ77" s="105"/>
      <c r="IR77" s="105"/>
      <c r="IS77" s="105"/>
      <c r="IT77" s="105"/>
      <c r="IU77" s="105"/>
      <c r="IV77" s="105"/>
    </row>
    <row r="78" s="106" customFormat="1" ht="20.1" customHeight="1" spans="1:256">
      <c r="A78" s="105"/>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05"/>
      <c r="GM78" s="105"/>
      <c r="GN78" s="105"/>
      <c r="GO78" s="105"/>
      <c r="GP78" s="105"/>
      <c r="GQ78" s="105"/>
      <c r="GR78" s="105"/>
      <c r="GS78" s="105"/>
      <c r="GT78" s="105"/>
      <c r="GU78" s="105"/>
      <c r="GV78" s="105"/>
      <c r="GW78" s="105"/>
      <c r="GX78" s="105"/>
      <c r="GY78" s="105"/>
      <c r="GZ78" s="105"/>
      <c r="HA78" s="105"/>
      <c r="HB78" s="105"/>
      <c r="HC78" s="105"/>
      <c r="HD78" s="105"/>
      <c r="HE78" s="105"/>
      <c r="HF78" s="105"/>
      <c r="HG78" s="105"/>
      <c r="HH78" s="105"/>
      <c r="HI78" s="105"/>
      <c r="HJ78" s="105"/>
      <c r="HK78" s="105"/>
      <c r="HL78" s="105"/>
      <c r="HM78" s="105"/>
      <c r="HN78" s="105"/>
      <c r="HO78" s="105"/>
      <c r="HP78" s="105"/>
      <c r="HQ78" s="105"/>
      <c r="HR78" s="105"/>
      <c r="HS78" s="105"/>
      <c r="HT78" s="105"/>
      <c r="HU78" s="105"/>
      <c r="HV78" s="105"/>
      <c r="HW78" s="105"/>
      <c r="HX78" s="105"/>
      <c r="HY78" s="105"/>
      <c r="HZ78" s="105"/>
      <c r="IA78" s="105"/>
      <c r="IB78" s="105"/>
      <c r="IC78" s="105"/>
      <c r="ID78" s="105"/>
      <c r="IE78" s="105"/>
      <c r="IF78" s="105"/>
      <c r="IG78" s="105"/>
      <c r="IH78" s="105"/>
      <c r="II78" s="105"/>
      <c r="IJ78" s="105"/>
      <c r="IK78" s="105"/>
      <c r="IL78" s="105"/>
      <c r="IM78" s="105"/>
      <c r="IN78" s="105"/>
      <c r="IO78" s="105"/>
      <c r="IP78" s="105"/>
      <c r="IQ78" s="105"/>
      <c r="IR78" s="105"/>
      <c r="IS78" s="105"/>
      <c r="IT78" s="105"/>
      <c r="IU78" s="105"/>
      <c r="IV78" s="105"/>
    </row>
    <row r="79" s="106" customFormat="1" ht="20.1" customHeight="1" spans="1:256">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c r="HZ79" s="105"/>
      <c r="IA79" s="105"/>
      <c r="IB79" s="105"/>
      <c r="IC79" s="105"/>
      <c r="ID79" s="105"/>
      <c r="IE79" s="105"/>
      <c r="IF79" s="105"/>
      <c r="IG79" s="105"/>
      <c r="IH79" s="105"/>
      <c r="II79" s="105"/>
      <c r="IJ79" s="105"/>
      <c r="IK79" s="105"/>
      <c r="IL79" s="105"/>
      <c r="IM79" s="105"/>
      <c r="IN79" s="105"/>
      <c r="IO79" s="105"/>
      <c r="IP79" s="105"/>
      <c r="IQ79" s="105"/>
      <c r="IR79" s="105"/>
      <c r="IS79" s="105"/>
      <c r="IT79" s="105"/>
      <c r="IU79" s="105"/>
      <c r="IV79" s="105"/>
    </row>
    <row r="80" s="106" customFormat="1" ht="20.1" customHeight="1" spans="1:256">
      <c r="A80" s="105"/>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05"/>
      <c r="GM80" s="105"/>
      <c r="GN80" s="105"/>
      <c r="GO80" s="105"/>
      <c r="GP80" s="105"/>
      <c r="GQ80" s="105"/>
      <c r="GR80" s="105"/>
      <c r="GS80" s="105"/>
      <c r="GT80" s="105"/>
      <c r="GU80" s="105"/>
      <c r="GV80" s="105"/>
      <c r="GW80" s="105"/>
      <c r="GX80" s="105"/>
      <c r="GY80" s="105"/>
      <c r="GZ80" s="105"/>
      <c r="HA80" s="105"/>
      <c r="HB80" s="105"/>
      <c r="HC80" s="105"/>
      <c r="HD80" s="105"/>
      <c r="HE80" s="105"/>
      <c r="HF80" s="105"/>
      <c r="HG80" s="105"/>
      <c r="HH80" s="105"/>
      <c r="HI80" s="105"/>
      <c r="HJ80" s="105"/>
      <c r="HK80" s="105"/>
      <c r="HL80" s="105"/>
      <c r="HM80" s="105"/>
      <c r="HN80" s="105"/>
      <c r="HO80" s="105"/>
      <c r="HP80" s="105"/>
      <c r="HQ80" s="105"/>
      <c r="HR80" s="105"/>
      <c r="HS80" s="105"/>
      <c r="HT80" s="105"/>
      <c r="HU80" s="105"/>
      <c r="HV80" s="105"/>
      <c r="HW80" s="105"/>
      <c r="HX80" s="105"/>
      <c r="HY80" s="105"/>
      <c r="HZ80" s="105"/>
      <c r="IA80" s="105"/>
      <c r="IB80" s="105"/>
      <c r="IC80" s="105"/>
      <c r="ID80" s="105"/>
      <c r="IE80" s="105"/>
      <c r="IF80" s="105"/>
      <c r="IG80" s="105"/>
      <c r="IH80" s="105"/>
      <c r="II80" s="105"/>
      <c r="IJ80" s="105"/>
      <c r="IK80" s="105"/>
      <c r="IL80" s="105"/>
      <c r="IM80" s="105"/>
      <c r="IN80" s="105"/>
      <c r="IO80" s="105"/>
      <c r="IP80" s="105"/>
      <c r="IQ80" s="105"/>
      <c r="IR80" s="105"/>
      <c r="IS80" s="105"/>
      <c r="IT80" s="105"/>
      <c r="IU80" s="105"/>
      <c r="IV80" s="105"/>
    </row>
    <row r="81" s="106" customFormat="1" ht="20.1" customHeight="1" spans="1:256">
      <c r="A81" s="105"/>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05"/>
      <c r="GM81" s="105"/>
      <c r="GN81" s="105"/>
      <c r="GO81" s="105"/>
      <c r="GP81" s="105"/>
      <c r="GQ81" s="105"/>
      <c r="GR81" s="105"/>
      <c r="GS81" s="105"/>
      <c r="GT81" s="105"/>
      <c r="GU81" s="105"/>
      <c r="GV81" s="105"/>
      <c r="GW81" s="105"/>
      <c r="GX81" s="105"/>
      <c r="GY81" s="105"/>
      <c r="GZ81" s="105"/>
      <c r="HA81" s="105"/>
      <c r="HB81" s="105"/>
      <c r="HC81" s="105"/>
      <c r="HD81" s="105"/>
      <c r="HE81" s="105"/>
      <c r="HF81" s="105"/>
      <c r="HG81" s="105"/>
      <c r="HH81" s="105"/>
      <c r="HI81" s="105"/>
      <c r="HJ81" s="105"/>
      <c r="HK81" s="105"/>
      <c r="HL81" s="105"/>
      <c r="HM81" s="105"/>
      <c r="HN81" s="105"/>
      <c r="HO81" s="105"/>
      <c r="HP81" s="105"/>
      <c r="HQ81" s="105"/>
      <c r="HR81" s="105"/>
      <c r="HS81" s="105"/>
      <c r="HT81" s="105"/>
      <c r="HU81" s="105"/>
      <c r="HV81" s="105"/>
      <c r="HW81" s="105"/>
      <c r="HX81" s="105"/>
      <c r="HY81" s="105"/>
      <c r="HZ81" s="105"/>
      <c r="IA81" s="105"/>
      <c r="IB81" s="105"/>
      <c r="IC81" s="105"/>
      <c r="ID81" s="105"/>
      <c r="IE81" s="105"/>
      <c r="IF81" s="105"/>
      <c r="IG81" s="105"/>
      <c r="IH81" s="105"/>
      <c r="II81" s="105"/>
      <c r="IJ81" s="105"/>
      <c r="IK81" s="105"/>
      <c r="IL81" s="105"/>
      <c r="IM81" s="105"/>
      <c r="IN81" s="105"/>
      <c r="IO81" s="105"/>
      <c r="IP81" s="105"/>
      <c r="IQ81" s="105"/>
      <c r="IR81" s="105"/>
      <c r="IS81" s="105"/>
      <c r="IT81" s="105"/>
      <c r="IU81" s="105"/>
      <c r="IV81" s="105"/>
    </row>
    <row r="82" s="106" customFormat="1" ht="20.1" customHeight="1" spans="1:256">
      <c r="A82" s="105"/>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05"/>
      <c r="FN82" s="105"/>
      <c r="FO82" s="105"/>
      <c r="FP82" s="105"/>
      <c r="FQ82" s="105"/>
      <c r="FR82" s="105"/>
      <c r="FS82" s="105"/>
      <c r="FT82" s="105"/>
      <c r="FU82" s="105"/>
      <c r="FV82" s="105"/>
      <c r="FW82" s="105"/>
      <c r="FX82" s="105"/>
      <c r="FY82" s="105"/>
      <c r="FZ82" s="105"/>
      <c r="GA82" s="105"/>
      <c r="GB82" s="105"/>
      <c r="GC82" s="105"/>
      <c r="GD82" s="105"/>
      <c r="GE82" s="105"/>
      <c r="GF82" s="105"/>
      <c r="GG82" s="105"/>
      <c r="GH82" s="105"/>
      <c r="GI82" s="105"/>
      <c r="GJ82" s="105"/>
      <c r="GK82" s="105"/>
      <c r="GL82" s="105"/>
      <c r="GM82" s="105"/>
      <c r="GN82" s="105"/>
      <c r="GO82" s="105"/>
      <c r="GP82" s="105"/>
      <c r="GQ82" s="105"/>
      <c r="GR82" s="105"/>
      <c r="GS82" s="105"/>
      <c r="GT82" s="105"/>
      <c r="GU82" s="105"/>
      <c r="GV82" s="105"/>
      <c r="GW82" s="105"/>
      <c r="GX82" s="105"/>
      <c r="GY82" s="105"/>
      <c r="GZ82" s="105"/>
      <c r="HA82" s="105"/>
      <c r="HB82" s="105"/>
      <c r="HC82" s="105"/>
      <c r="HD82" s="105"/>
      <c r="HE82" s="105"/>
      <c r="HF82" s="105"/>
      <c r="HG82" s="105"/>
      <c r="HH82" s="105"/>
      <c r="HI82" s="105"/>
      <c r="HJ82" s="105"/>
      <c r="HK82" s="105"/>
      <c r="HL82" s="105"/>
      <c r="HM82" s="105"/>
      <c r="HN82" s="105"/>
      <c r="HO82" s="105"/>
      <c r="HP82" s="105"/>
      <c r="HQ82" s="105"/>
      <c r="HR82" s="105"/>
      <c r="HS82" s="105"/>
      <c r="HT82" s="105"/>
      <c r="HU82" s="105"/>
      <c r="HV82" s="105"/>
      <c r="HW82" s="105"/>
      <c r="HX82" s="105"/>
      <c r="HY82" s="105"/>
      <c r="HZ82" s="105"/>
      <c r="IA82" s="105"/>
      <c r="IB82" s="105"/>
      <c r="IC82" s="105"/>
      <c r="ID82" s="105"/>
      <c r="IE82" s="105"/>
      <c r="IF82" s="105"/>
      <c r="IG82" s="105"/>
      <c r="IH82" s="105"/>
      <c r="II82" s="105"/>
      <c r="IJ82" s="105"/>
      <c r="IK82" s="105"/>
      <c r="IL82" s="105"/>
      <c r="IM82" s="105"/>
      <c r="IN82" s="105"/>
      <c r="IO82" s="105"/>
      <c r="IP82" s="105"/>
      <c r="IQ82" s="105"/>
      <c r="IR82" s="105"/>
      <c r="IS82" s="105"/>
      <c r="IT82" s="105"/>
      <c r="IU82" s="105"/>
      <c r="IV82" s="105"/>
    </row>
    <row r="83" s="106" customFormat="1" ht="20.1" customHeight="1" spans="1:256">
      <c r="A83" s="105"/>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05"/>
      <c r="GM83" s="105"/>
      <c r="GN83" s="105"/>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c r="HZ83" s="105"/>
      <c r="IA83" s="105"/>
      <c r="IB83" s="105"/>
      <c r="IC83" s="105"/>
      <c r="ID83" s="105"/>
      <c r="IE83" s="105"/>
      <c r="IF83" s="105"/>
      <c r="IG83" s="105"/>
      <c r="IH83" s="105"/>
      <c r="II83" s="105"/>
      <c r="IJ83" s="105"/>
      <c r="IK83" s="105"/>
      <c r="IL83" s="105"/>
      <c r="IM83" s="105"/>
      <c r="IN83" s="105"/>
      <c r="IO83" s="105"/>
      <c r="IP83" s="105"/>
      <c r="IQ83" s="105"/>
      <c r="IR83" s="105"/>
      <c r="IS83" s="105"/>
      <c r="IT83" s="105"/>
      <c r="IU83" s="105"/>
      <c r="IV83" s="105"/>
    </row>
    <row r="84" s="106" customFormat="1" ht="20.1" customHeight="1" spans="1:256">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05"/>
      <c r="FN84" s="105"/>
      <c r="FO84" s="105"/>
      <c r="FP84" s="105"/>
      <c r="FQ84" s="105"/>
      <c r="FR84" s="105"/>
      <c r="FS84" s="105"/>
      <c r="FT84" s="105"/>
      <c r="FU84" s="105"/>
      <c r="FV84" s="105"/>
      <c r="FW84" s="105"/>
      <c r="FX84" s="105"/>
      <c r="FY84" s="105"/>
      <c r="FZ84" s="105"/>
      <c r="GA84" s="105"/>
      <c r="GB84" s="105"/>
      <c r="GC84" s="105"/>
      <c r="GD84" s="105"/>
      <c r="GE84" s="105"/>
      <c r="GF84" s="105"/>
      <c r="GG84" s="105"/>
      <c r="GH84" s="105"/>
      <c r="GI84" s="105"/>
      <c r="GJ84" s="105"/>
      <c r="GK84" s="105"/>
      <c r="GL84" s="105"/>
      <c r="GM84" s="105"/>
      <c r="GN84" s="105"/>
      <c r="GO84" s="105"/>
      <c r="GP84" s="105"/>
      <c r="GQ84" s="105"/>
      <c r="GR84" s="105"/>
      <c r="GS84" s="105"/>
      <c r="GT84" s="105"/>
      <c r="GU84" s="105"/>
      <c r="GV84" s="105"/>
      <c r="GW84" s="105"/>
      <c r="GX84" s="105"/>
      <c r="GY84" s="105"/>
      <c r="GZ84" s="105"/>
      <c r="HA84" s="105"/>
      <c r="HB84" s="105"/>
      <c r="HC84" s="105"/>
      <c r="HD84" s="105"/>
      <c r="HE84" s="105"/>
      <c r="HF84" s="105"/>
      <c r="HG84" s="105"/>
      <c r="HH84" s="105"/>
      <c r="HI84" s="105"/>
      <c r="HJ84" s="105"/>
      <c r="HK84" s="105"/>
      <c r="HL84" s="105"/>
      <c r="HM84" s="105"/>
      <c r="HN84" s="105"/>
      <c r="HO84" s="105"/>
      <c r="HP84" s="105"/>
      <c r="HQ84" s="105"/>
      <c r="HR84" s="105"/>
      <c r="HS84" s="105"/>
      <c r="HT84" s="105"/>
      <c r="HU84" s="105"/>
      <c r="HV84" s="105"/>
      <c r="HW84" s="105"/>
      <c r="HX84" s="105"/>
      <c r="HY84" s="105"/>
      <c r="HZ84" s="105"/>
      <c r="IA84" s="105"/>
      <c r="IB84" s="105"/>
      <c r="IC84" s="105"/>
      <c r="ID84" s="105"/>
      <c r="IE84" s="105"/>
      <c r="IF84" s="105"/>
      <c r="IG84" s="105"/>
      <c r="IH84" s="105"/>
      <c r="II84" s="105"/>
      <c r="IJ84" s="105"/>
      <c r="IK84" s="105"/>
      <c r="IL84" s="105"/>
      <c r="IM84" s="105"/>
      <c r="IN84" s="105"/>
      <c r="IO84" s="105"/>
      <c r="IP84" s="105"/>
      <c r="IQ84" s="105"/>
      <c r="IR84" s="105"/>
      <c r="IS84" s="105"/>
      <c r="IT84" s="105"/>
      <c r="IU84" s="105"/>
      <c r="IV84" s="105"/>
    </row>
    <row r="85" s="106" customFormat="1" ht="20.1" customHeight="1" spans="1:256">
      <c r="A85" s="105"/>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05"/>
      <c r="GM85" s="105"/>
      <c r="GN85" s="105"/>
      <c r="GO85" s="105"/>
      <c r="GP85" s="105"/>
      <c r="GQ85" s="105"/>
      <c r="GR85" s="105"/>
      <c r="GS85" s="105"/>
      <c r="GT85" s="105"/>
      <c r="GU85" s="105"/>
      <c r="GV85" s="105"/>
      <c r="GW85" s="105"/>
      <c r="GX85" s="105"/>
      <c r="GY85" s="105"/>
      <c r="GZ85" s="105"/>
      <c r="HA85" s="105"/>
      <c r="HB85" s="105"/>
      <c r="HC85" s="105"/>
      <c r="HD85" s="105"/>
      <c r="HE85" s="105"/>
      <c r="HF85" s="105"/>
      <c r="HG85" s="105"/>
      <c r="HH85" s="105"/>
      <c r="HI85" s="105"/>
      <c r="HJ85" s="105"/>
      <c r="HK85" s="105"/>
      <c r="HL85" s="105"/>
      <c r="HM85" s="105"/>
      <c r="HN85" s="105"/>
      <c r="HO85" s="105"/>
      <c r="HP85" s="105"/>
      <c r="HQ85" s="105"/>
      <c r="HR85" s="105"/>
      <c r="HS85" s="105"/>
      <c r="HT85" s="105"/>
      <c r="HU85" s="105"/>
      <c r="HV85" s="105"/>
      <c r="HW85" s="105"/>
      <c r="HX85" s="105"/>
      <c r="HY85" s="105"/>
      <c r="HZ85" s="105"/>
      <c r="IA85" s="105"/>
      <c r="IB85" s="105"/>
      <c r="IC85" s="105"/>
      <c r="ID85" s="105"/>
      <c r="IE85" s="105"/>
      <c r="IF85" s="105"/>
      <c r="IG85" s="105"/>
      <c r="IH85" s="105"/>
      <c r="II85" s="105"/>
      <c r="IJ85" s="105"/>
      <c r="IK85" s="105"/>
      <c r="IL85" s="105"/>
      <c r="IM85" s="105"/>
      <c r="IN85" s="105"/>
      <c r="IO85" s="105"/>
      <c r="IP85" s="105"/>
      <c r="IQ85" s="105"/>
      <c r="IR85" s="105"/>
      <c r="IS85" s="105"/>
      <c r="IT85" s="105"/>
      <c r="IU85" s="105"/>
      <c r="IV85" s="105"/>
    </row>
    <row r="86" s="106" customFormat="1" ht="20.1" customHeight="1" spans="1:256">
      <c r="A86" s="105"/>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05"/>
      <c r="FN86" s="105"/>
      <c r="FO86" s="105"/>
      <c r="FP86" s="105"/>
      <c r="FQ86" s="105"/>
      <c r="FR86" s="105"/>
      <c r="FS86" s="105"/>
      <c r="FT86" s="105"/>
      <c r="FU86" s="105"/>
      <c r="FV86" s="105"/>
      <c r="FW86" s="105"/>
      <c r="FX86" s="105"/>
      <c r="FY86" s="105"/>
      <c r="FZ86" s="105"/>
      <c r="GA86" s="105"/>
      <c r="GB86" s="105"/>
      <c r="GC86" s="105"/>
      <c r="GD86" s="105"/>
      <c r="GE86" s="105"/>
      <c r="GF86" s="105"/>
      <c r="GG86" s="105"/>
      <c r="GH86" s="105"/>
      <c r="GI86" s="105"/>
      <c r="GJ86" s="105"/>
      <c r="GK86" s="105"/>
      <c r="GL86" s="105"/>
      <c r="GM86" s="105"/>
      <c r="GN86" s="105"/>
      <c r="GO86" s="105"/>
      <c r="GP86" s="105"/>
      <c r="GQ86" s="105"/>
      <c r="GR86" s="105"/>
      <c r="GS86" s="105"/>
      <c r="GT86" s="105"/>
      <c r="GU86" s="105"/>
      <c r="GV86" s="105"/>
      <c r="GW86" s="105"/>
      <c r="GX86" s="105"/>
      <c r="GY86" s="105"/>
      <c r="GZ86" s="105"/>
      <c r="HA86" s="105"/>
      <c r="HB86" s="105"/>
      <c r="HC86" s="105"/>
      <c r="HD86" s="105"/>
      <c r="HE86" s="105"/>
      <c r="HF86" s="105"/>
      <c r="HG86" s="105"/>
      <c r="HH86" s="105"/>
      <c r="HI86" s="105"/>
      <c r="HJ86" s="105"/>
      <c r="HK86" s="105"/>
      <c r="HL86" s="105"/>
      <c r="HM86" s="105"/>
      <c r="HN86" s="105"/>
      <c r="HO86" s="105"/>
      <c r="HP86" s="105"/>
      <c r="HQ86" s="105"/>
      <c r="HR86" s="105"/>
      <c r="HS86" s="105"/>
      <c r="HT86" s="105"/>
      <c r="HU86" s="105"/>
      <c r="HV86" s="105"/>
      <c r="HW86" s="105"/>
      <c r="HX86" s="105"/>
      <c r="HY86" s="105"/>
      <c r="HZ86" s="105"/>
      <c r="IA86" s="105"/>
      <c r="IB86" s="105"/>
      <c r="IC86" s="105"/>
      <c r="ID86" s="105"/>
      <c r="IE86" s="105"/>
      <c r="IF86" s="105"/>
      <c r="IG86" s="105"/>
      <c r="IH86" s="105"/>
      <c r="II86" s="105"/>
      <c r="IJ86" s="105"/>
      <c r="IK86" s="105"/>
      <c r="IL86" s="105"/>
      <c r="IM86" s="105"/>
      <c r="IN86" s="105"/>
      <c r="IO86" s="105"/>
      <c r="IP86" s="105"/>
      <c r="IQ86" s="105"/>
      <c r="IR86" s="105"/>
      <c r="IS86" s="105"/>
      <c r="IT86" s="105"/>
      <c r="IU86" s="105"/>
      <c r="IV86" s="105"/>
    </row>
    <row r="87" s="106" customFormat="1" ht="20.1" customHeight="1" spans="1:256">
      <c r="A87" s="105"/>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05"/>
      <c r="GM87" s="105"/>
      <c r="GN87" s="105"/>
      <c r="GO87" s="105"/>
      <c r="GP87" s="105"/>
      <c r="GQ87" s="105"/>
      <c r="GR87" s="105"/>
      <c r="GS87" s="105"/>
      <c r="GT87" s="105"/>
      <c r="GU87" s="105"/>
      <c r="GV87" s="105"/>
      <c r="GW87" s="105"/>
      <c r="GX87" s="105"/>
      <c r="GY87" s="105"/>
      <c r="GZ87" s="105"/>
      <c r="HA87" s="105"/>
      <c r="HB87" s="105"/>
      <c r="HC87" s="105"/>
      <c r="HD87" s="105"/>
      <c r="HE87" s="105"/>
      <c r="HF87" s="105"/>
      <c r="HG87" s="105"/>
      <c r="HH87" s="105"/>
      <c r="HI87" s="105"/>
      <c r="HJ87" s="105"/>
      <c r="HK87" s="105"/>
      <c r="HL87" s="105"/>
      <c r="HM87" s="105"/>
      <c r="HN87" s="105"/>
      <c r="HO87" s="105"/>
      <c r="HP87" s="105"/>
      <c r="HQ87" s="105"/>
      <c r="HR87" s="105"/>
      <c r="HS87" s="105"/>
      <c r="HT87" s="105"/>
      <c r="HU87" s="105"/>
      <c r="HV87" s="105"/>
      <c r="HW87" s="105"/>
      <c r="HX87" s="105"/>
      <c r="HY87" s="105"/>
      <c r="HZ87" s="105"/>
      <c r="IA87" s="105"/>
      <c r="IB87" s="105"/>
      <c r="IC87" s="105"/>
      <c r="ID87" s="105"/>
      <c r="IE87" s="105"/>
      <c r="IF87" s="105"/>
      <c r="IG87" s="105"/>
      <c r="IH87" s="105"/>
      <c r="II87" s="105"/>
      <c r="IJ87" s="105"/>
      <c r="IK87" s="105"/>
      <c r="IL87" s="105"/>
      <c r="IM87" s="105"/>
      <c r="IN87" s="105"/>
      <c r="IO87" s="105"/>
      <c r="IP87" s="105"/>
      <c r="IQ87" s="105"/>
      <c r="IR87" s="105"/>
      <c r="IS87" s="105"/>
      <c r="IT87" s="105"/>
      <c r="IU87" s="105"/>
      <c r="IV87" s="105"/>
    </row>
    <row r="88" s="106" customFormat="1" ht="20.1" customHeight="1" spans="1:256">
      <c r="A88" s="105"/>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05"/>
      <c r="FN88" s="105"/>
      <c r="FO88" s="105"/>
      <c r="FP88" s="105"/>
      <c r="FQ88" s="105"/>
      <c r="FR88" s="105"/>
      <c r="FS88" s="105"/>
      <c r="FT88" s="105"/>
      <c r="FU88" s="105"/>
      <c r="FV88" s="105"/>
      <c r="FW88" s="105"/>
      <c r="FX88" s="105"/>
      <c r="FY88" s="105"/>
      <c r="FZ88" s="105"/>
      <c r="GA88" s="105"/>
      <c r="GB88" s="105"/>
      <c r="GC88" s="105"/>
      <c r="GD88" s="105"/>
      <c r="GE88" s="105"/>
      <c r="GF88" s="105"/>
      <c r="GG88" s="105"/>
      <c r="GH88" s="105"/>
      <c r="GI88" s="105"/>
      <c r="GJ88" s="105"/>
      <c r="GK88" s="105"/>
      <c r="GL88" s="105"/>
      <c r="GM88" s="105"/>
      <c r="GN88" s="105"/>
      <c r="GO88" s="105"/>
      <c r="GP88" s="105"/>
      <c r="GQ88" s="105"/>
      <c r="GR88" s="105"/>
      <c r="GS88" s="105"/>
      <c r="GT88" s="105"/>
      <c r="GU88" s="105"/>
      <c r="GV88" s="105"/>
      <c r="GW88" s="105"/>
      <c r="GX88" s="105"/>
      <c r="GY88" s="105"/>
      <c r="GZ88" s="105"/>
      <c r="HA88" s="105"/>
      <c r="HB88" s="105"/>
      <c r="HC88" s="105"/>
      <c r="HD88" s="105"/>
      <c r="HE88" s="105"/>
      <c r="HF88" s="105"/>
      <c r="HG88" s="105"/>
      <c r="HH88" s="105"/>
      <c r="HI88" s="105"/>
      <c r="HJ88" s="105"/>
      <c r="HK88" s="105"/>
      <c r="HL88" s="105"/>
      <c r="HM88" s="105"/>
      <c r="HN88" s="105"/>
      <c r="HO88" s="105"/>
      <c r="HP88" s="105"/>
      <c r="HQ88" s="105"/>
      <c r="HR88" s="105"/>
      <c r="HS88" s="105"/>
      <c r="HT88" s="105"/>
      <c r="HU88" s="105"/>
      <c r="HV88" s="105"/>
      <c r="HW88" s="105"/>
      <c r="HX88" s="105"/>
      <c r="HY88" s="105"/>
      <c r="HZ88" s="105"/>
      <c r="IA88" s="105"/>
      <c r="IB88" s="105"/>
      <c r="IC88" s="105"/>
      <c r="ID88" s="105"/>
      <c r="IE88" s="105"/>
      <c r="IF88" s="105"/>
      <c r="IG88" s="105"/>
      <c r="IH88" s="105"/>
      <c r="II88" s="105"/>
      <c r="IJ88" s="105"/>
      <c r="IK88" s="105"/>
      <c r="IL88" s="105"/>
      <c r="IM88" s="105"/>
      <c r="IN88" s="105"/>
      <c r="IO88" s="105"/>
      <c r="IP88" s="105"/>
      <c r="IQ88" s="105"/>
      <c r="IR88" s="105"/>
      <c r="IS88" s="105"/>
      <c r="IT88" s="105"/>
      <c r="IU88" s="105"/>
      <c r="IV88" s="105"/>
    </row>
    <row r="89" s="106" customFormat="1" ht="20.1" customHeight="1" spans="1:256">
      <c r="A89" s="105"/>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05"/>
      <c r="FN89" s="105"/>
      <c r="FO89" s="105"/>
      <c r="FP89" s="105"/>
      <c r="FQ89" s="105"/>
      <c r="FR89" s="105"/>
      <c r="FS89" s="105"/>
      <c r="FT89" s="105"/>
      <c r="FU89" s="105"/>
      <c r="FV89" s="105"/>
      <c r="FW89" s="105"/>
      <c r="FX89" s="105"/>
      <c r="FY89" s="105"/>
      <c r="FZ89" s="105"/>
      <c r="GA89" s="105"/>
      <c r="GB89" s="105"/>
      <c r="GC89" s="105"/>
      <c r="GD89" s="105"/>
      <c r="GE89" s="105"/>
      <c r="GF89" s="105"/>
      <c r="GG89" s="105"/>
      <c r="GH89" s="105"/>
      <c r="GI89" s="105"/>
      <c r="GJ89" s="105"/>
      <c r="GK89" s="105"/>
      <c r="GL89" s="105"/>
      <c r="GM89" s="105"/>
      <c r="GN89" s="105"/>
      <c r="GO89" s="105"/>
      <c r="GP89" s="105"/>
      <c r="GQ89" s="105"/>
      <c r="GR89" s="105"/>
      <c r="GS89" s="105"/>
      <c r="GT89" s="105"/>
      <c r="GU89" s="105"/>
      <c r="GV89" s="105"/>
      <c r="GW89" s="105"/>
      <c r="GX89" s="105"/>
      <c r="GY89" s="105"/>
      <c r="GZ89" s="105"/>
      <c r="HA89" s="105"/>
      <c r="HB89" s="105"/>
      <c r="HC89" s="105"/>
      <c r="HD89" s="105"/>
      <c r="HE89" s="105"/>
      <c r="HF89" s="105"/>
      <c r="HG89" s="105"/>
      <c r="HH89" s="105"/>
      <c r="HI89" s="105"/>
      <c r="HJ89" s="105"/>
      <c r="HK89" s="105"/>
      <c r="HL89" s="105"/>
      <c r="HM89" s="105"/>
      <c r="HN89" s="105"/>
      <c r="HO89" s="105"/>
      <c r="HP89" s="105"/>
      <c r="HQ89" s="105"/>
      <c r="HR89" s="105"/>
      <c r="HS89" s="105"/>
      <c r="HT89" s="105"/>
      <c r="HU89" s="105"/>
      <c r="HV89" s="105"/>
      <c r="HW89" s="105"/>
      <c r="HX89" s="105"/>
      <c r="HY89" s="105"/>
      <c r="HZ89" s="105"/>
      <c r="IA89" s="105"/>
      <c r="IB89" s="105"/>
      <c r="IC89" s="105"/>
      <c r="ID89" s="105"/>
      <c r="IE89" s="105"/>
      <c r="IF89" s="105"/>
      <c r="IG89" s="105"/>
      <c r="IH89" s="105"/>
      <c r="II89" s="105"/>
      <c r="IJ89" s="105"/>
      <c r="IK89" s="105"/>
      <c r="IL89" s="105"/>
      <c r="IM89" s="105"/>
      <c r="IN89" s="105"/>
      <c r="IO89" s="105"/>
      <c r="IP89" s="105"/>
      <c r="IQ89" s="105"/>
      <c r="IR89" s="105"/>
      <c r="IS89" s="105"/>
      <c r="IT89" s="105"/>
      <c r="IU89" s="105"/>
      <c r="IV89" s="105"/>
    </row>
    <row r="90" s="106" customFormat="1" ht="20.1" customHeight="1" spans="1:256">
      <c r="A90" s="10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5"/>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c r="II90" s="105"/>
      <c r="IJ90" s="105"/>
      <c r="IK90" s="105"/>
      <c r="IL90" s="105"/>
      <c r="IM90" s="105"/>
      <c r="IN90" s="105"/>
      <c r="IO90" s="105"/>
      <c r="IP90" s="105"/>
      <c r="IQ90" s="105"/>
      <c r="IR90" s="105"/>
      <c r="IS90" s="105"/>
      <c r="IT90" s="105"/>
      <c r="IU90" s="105"/>
      <c r="IV90" s="105"/>
    </row>
    <row r="91" s="106" customFormat="1" ht="20.1" customHeight="1" spans="1:256">
      <c r="A91" s="105"/>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05"/>
      <c r="GM91" s="105"/>
      <c r="GN91" s="105"/>
      <c r="GO91" s="105"/>
      <c r="GP91" s="105"/>
      <c r="GQ91" s="105"/>
      <c r="GR91" s="105"/>
      <c r="GS91" s="105"/>
      <c r="GT91" s="105"/>
      <c r="GU91" s="105"/>
      <c r="GV91" s="105"/>
      <c r="GW91" s="105"/>
      <c r="GX91" s="105"/>
      <c r="GY91" s="105"/>
      <c r="GZ91" s="105"/>
      <c r="HA91" s="105"/>
      <c r="HB91" s="105"/>
      <c r="HC91" s="105"/>
      <c r="HD91" s="105"/>
      <c r="HE91" s="105"/>
      <c r="HF91" s="105"/>
      <c r="HG91" s="105"/>
      <c r="HH91" s="105"/>
      <c r="HI91" s="105"/>
      <c r="HJ91" s="105"/>
      <c r="HK91" s="105"/>
      <c r="HL91" s="105"/>
      <c r="HM91" s="105"/>
      <c r="HN91" s="105"/>
      <c r="HO91" s="105"/>
      <c r="HP91" s="105"/>
      <c r="HQ91" s="105"/>
      <c r="HR91" s="105"/>
      <c r="HS91" s="105"/>
      <c r="HT91" s="105"/>
      <c r="HU91" s="105"/>
      <c r="HV91" s="105"/>
      <c r="HW91" s="105"/>
      <c r="HX91" s="105"/>
      <c r="HY91" s="105"/>
      <c r="HZ91" s="105"/>
      <c r="IA91" s="105"/>
      <c r="IB91" s="105"/>
      <c r="IC91" s="105"/>
      <c r="ID91" s="105"/>
      <c r="IE91" s="105"/>
      <c r="IF91" s="105"/>
      <c r="IG91" s="105"/>
      <c r="IH91" s="105"/>
      <c r="II91" s="105"/>
      <c r="IJ91" s="105"/>
      <c r="IK91" s="105"/>
      <c r="IL91" s="105"/>
      <c r="IM91" s="105"/>
      <c r="IN91" s="105"/>
      <c r="IO91" s="105"/>
      <c r="IP91" s="105"/>
      <c r="IQ91" s="105"/>
      <c r="IR91" s="105"/>
      <c r="IS91" s="105"/>
      <c r="IT91" s="105"/>
      <c r="IU91" s="105"/>
      <c r="IV91" s="105"/>
    </row>
    <row r="92" s="106" customFormat="1" ht="20.1" customHeight="1" spans="1:256">
      <c r="A92" s="105"/>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05"/>
      <c r="GM92" s="105"/>
      <c r="GN92" s="105"/>
      <c r="GO92" s="105"/>
      <c r="GP92" s="105"/>
      <c r="GQ92" s="105"/>
      <c r="GR92" s="105"/>
      <c r="GS92" s="105"/>
      <c r="GT92" s="105"/>
      <c r="GU92" s="105"/>
      <c r="GV92" s="105"/>
      <c r="GW92" s="105"/>
      <c r="GX92" s="105"/>
      <c r="GY92" s="105"/>
      <c r="GZ92" s="105"/>
      <c r="HA92" s="105"/>
      <c r="HB92" s="105"/>
      <c r="HC92" s="105"/>
      <c r="HD92" s="105"/>
      <c r="HE92" s="105"/>
      <c r="HF92" s="105"/>
      <c r="HG92" s="105"/>
      <c r="HH92" s="105"/>
      <c r="HI92" s="105"/>
      <c r="HJ92" s="105"/>
      <c r="HK92" s="105"/>
      <c r="HL92" s="105"/>
      <c r="HM92" s="105"/>
      <c r="HN92" s="105"/>
      <c r="HO92" s="105"/>
      <c r="HP92" s="105"/>
      <c r="HQ92" s="105"/>
      <c r="HR92" s="105"/>
      <c r="HS92" s="105"/>
      <c r="HT92" s="105"/>
      <c r="HU92" s="105"/>
      <c r="HV92" s="105"/>
      <c r="HW92" s="105"/>
      <c r="HX92" s="105"/>
      <c r="HY92" s="105"/>
      <c r="HZ92" s="105"/>
      <c r="IA92" s="105"/>
      <c r="IB92" s="105"/>
      <c r="IC92" s="105"/>
      <c r="ID92" s="105"/>
      <c r="IE92" s="105"/>
      <c r="IF92" s="105"/>
      <c r="IG92" s="105"/>
      <c r="IH92" s="105"/>
      <c r="II92" s="105"/>
      <c r="IJ92" s="105"/>
      <c r="IK92" s="105"/>
      <c r="IL92" s="105"/>
      <c r="IM92" s="105"/>
      <c r="IN92" s="105"/>
      <c r="IO92" s="105"/>
      <c r="IP92" s="105"/>
      <c r="IQ92" s="105"/>
      <c r="IR92" s="105"/>
      <c r="IS92" s="105"/>
      <c r="IT92" s="105"/>
      <c r="IU92" s="105"/>
      <c r="IV92" s="105"/>
    </row>
    <row r="93" s="106" customFormat="1" ht="20.1" customHeight="1" spans="1:256">
      <c r="A93" s="105"/>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05"/>
      <c r="GM93" s="105"/>
      <c r="GN93" s="105"/>
      <c r="GO93" s="105"/>
      <c r="GP93" s="105"/>
      <c r="GQ93" s="105"/>
      <c r="GR93" s="105"/>
      <c r="GS93" s="105"/>
      <c r="GT93" s="105"/>
      <c r="GU93" s="105"/>
      <c r="GV93" s="105"/>
      <c r="GW93" s="105"/>
      <c r="GX93" s="105"/>
      <c r="GY93" s="105"/>
      <c r="GZ93" s="105"/>
      <c r="HA93" s="105"/>
      <c r="HB93" s="105"/>
      <c r="HC93" s="105"/>
      <c r="HD93" s="105"/>
      <c r="HE93" s="105"/>
      <c r="HF93" s="105"/>
      <c r="HG93" s="105"/>
      <c r="HH93" s="105"/>
      <c r="HI93" s="105"/>
      <c r="HJ93" s="105"/>
      <c r="HK93" s="105"/>
      <c r="HL93" s="105"/>
      <c r="HM93" s="105"/>
      <c r="HN93" s="105"/>
      <c r="HO93" s="105"/>
      <c r="HP93" s="105"/>
      <c r="HQ93" s="105"/>
      <c r="HR93" s="105"/>
      <c r="HS93" s="105"/>
      <c r="HT93" s="105"/>
      <c r="HU93" s="105"/>
      <c r="HV93" s="105"/>
      <c r="HW93" s="105"/>
      <c r="HX93" s="105"/>
      <c r="HY93" s="105"/>
      <c r="HZ93" s="105"/>
      <c r="IA93" s="105"/>
      <c r="IB93" s="105"/>
      <c r="IC93" s="105"/>
      <c r="ID93" s="105"/>
      <c r="IE93" s="105"/>
      <c r="IF93" s="105"/>
      <c r="IG93" s="105"/>
      <c r="IH93" s="105"/>
      <c r="II93" s="105"/>
      <c r="IJ93" s="105"/>
      <c r="IK93" s="105"/>
      <c r="IL93" s="105"/>
      <c r="IM93" s="105"/>
      <c r="IN93" s="105"/>
      <c r="IO93" s="105"/>
      <c r="IP93" s="105"/>
      <c r="IQ93" s="105"/>
      <c r="IR93" s="105"/>
      <c r="IS93" s="105"/>
      <c r="IT93" s="105"/>
      <c r="IU93" s="105"/>
      <c r="IV93" s="105"/>
    </row>
    <row r="94" s="106" customFormat="1" ht="20.1" customHeight="1" spans="1:256">
      <c r="A94" s="105"/>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05"/>
      <c r="FN94" s="105"/>
      <c r="FO94" s="105"/>
      <c r="FP94" s="105"/>
      <c r="FQ94" s="105"/>
      <c r="FR94" s="105"/>
      <c r="FS94" s="105"/>
      <c r="FT94" s="105"/>
      <c r="FU94" s="105"/>
      <c r="FV94" s="105"/>
      <c r="FW94" s="105"/>
      <c r="FX94" s="105"/>
      <c r="FY94" s="105"/>
      <c r="FZ94" s="105"/>
      <c r="GA94" s="105"/>
      <c r="GB94" s="105"/>
      <c r="GC94" s="105"/>
      <c r="GD94" s="105"/>
      <c r="GE94" s="105"/>
      <c r="GF94" s="105"/>
      <c r="GG94" s="105"/>
      <c r="GH94" s="105"/>
      <c r="GI94" s="105"/>
      <c r="GJ94" s="105"/>
      <c r="GK94" s="105"/>
      <c r="GL94" s="105"/>
      <c r="GM94" s="105"/>
      <c r="GN94" s="105"/>
      <c r="GO94" s="105"/>
      <c r="GP94" s="105"/>
      <c r="GQ94" s="105"/>
      <c r="GR94" s="105"/>
      <c r="GS94" s="105"/>
      <c r="GT94" s="105"/>
      <c r="GU94" s="105"/>
      <c r="GV94" s="105"/>
      <c r="GW94" s="105"/>
      <c r="GX94" s="105"/>
      <c r="GY94" s="105"/>
      <c r="GZ94" s="105"/>
      <c r="HA94" s="105"/>
      <c r="HB94" s="105"/>
      <c r="HC94" s="105"/>
      <c r="HD94" s="105"/>
      <c r="HE94" s="105"/>
      <c r="HF94" s="105"/>
      <c r="HG94" s="105"/>
      <c r="HH94" s="105"/>
      <c r="HI94" s="105"/>
      <c r="HJ94" s="105"/>
      <c r="HK94" s="105"/>
      <c r="HL94" s="105"/>
      <c r="HM94" s="105"/>
      <c r="HN94" s="105"/>
      <c r="HO94" s="105"/>
      <c r="HP94" s="105"/>
      <c r="HQ94" s="105"/>
      <c r="HR94" s="105"/>
      <c r="HS94" s="105"/>
      <c r="HT94" s="105"/>
      <c r="HU94" s="105"/>
      <c r="HV94" s="105"/>
      <c r="HW94" s="105"/>
      <c r="HX94" s="105"/>
      <c r="HY94" s="105"/>
      <c r="HZ94" s="105"/>
      <c r="IA94" s="105"/>
      <c r="IB94" s="105"/>
      <c r="IC94" s="105"/>
      <c r="ID94" s="105"/>
      <c r="IE94" s="105"/>
      <c r="IF94" s="105"/>
      <c r="IG94" s="105"/>
      <c r="IH94" s="105"/>
      <c r="II94" s="105"/>
      <c r="IJ94" s="105"/>
      <c r="IK94" s="105"/>
      <c r="IL94" s="105"/>
      <c r="IM94" s="105"/>
      <c r="IN94" s="105"/>
      <c r="IO94" s="105"/>
      <c r="IP94" s="105"/>
      <c r="IQ94" s="105"/>
      <c r="IR94" s="105"/>
      <c r="IS94" s="105"/>
      <c r="IT94" s="105"/>
      <c r="IU94" s="105"/>
      <c r="IV94" s="105"/>
    </row>
    <row r="95" s="106" customFormat="1" ht="20.1" customHeight="1" spans="1:256">
      <c r="A95" s="105"/>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c r="GF95" s="105"/>
      <c r="GG95" s="105"/>
      <c r="GH95" s="105"/>
      <c r="GI95" s="105"/>
      <c r="GJ95" s="105"/>
      <c r="GK95" s="105"/>
      <c r="GL95" s="105"/>
      <c r="GM95" s="105"/>
      <c r="GN95" s="105"/>
      <c r="GO95" s="105"/>
      <c r="GP95" s="105"/>
      <c r="GQ95" s="105"/>
      <c r="GR95" s="105"/>
      <c r="GS95" s="105"/>
      <c r="GT95" s="105"/>
      <c r="GU95" s="105"/>
      <c r="GV95" s="105"/>
      <c r="GW95" s="105"/>
      <c r="GX95" s="105"/>
      <c r="GY95" s="105"/>
      <c r="GZ95" s="105"/>
      <c r="HA95" s="105"/>
      <c r="HB95" s="105"/>
      <c r="HC95" s="105"/>
      <c r="HD95" s="105"/>
      <c r="HE95" s="105"/>
      <c r="HF95" s="105"/>
      <c r="HG95" s="105"/>
      <c r="HH95" s="105"/>
      <c r="HI95" s="105"/>
      <c r="HJ95" s="105"/>
      <c r="HK95" s="105"/>
      <c r="HL95" s="105"/>
      <c r="HM95" s="105"/>
      <c r="HN95" s="105"/>
      <c r="HO95" s="105"/>
      <c r="HP95" s="105"/>
      <c r="HQ95" s="105"/>
      <c r="HR95" s="105"/>
      <c r="HS95" s="105"/>
      <c r="HT95" s="105"/>
      <c r="HU95" s="105"/>
      <c r="HV95" s="105"/>
      <c r="HW95" s="105"/>
      <c r="HX95" s="105"/>
      <c r="HY95" s="105"/>
      <c r="HZ95" s="105"/>
      <c r="IA95" s="105"/>
      <c r="IB95" s="105"/>
      <c r="IC95" s="105"/>
      <c r="ID95" s="105"/>
      <c r="IE95" s="105"/>
      <c r="IF95" s="105"/>
      <c r="IG95" s="105"/>
      <c r="IH95" s="105"/>
      <c r="II95" s="105"/>
      <c r="IJ95" s="105"/>
      <c r="IK95" s="105"/>
      <c r="IL95" s="105"/>
      <c r="IM95" s="105"/>
      <c r="IN95" s="105"/>
      <c r="IO95" s="105"/>
      <c r="IP95" s="105"/>
      <c r="IQ95" s="105"/>
      <c r="IR95" s="105"/>
      <c r="IS95" s="105"/>
      <c r="IT95" s="105"/>
      <c r="IU95" s="105"/>
      <c r="IV95" s="105"/>
    </row>
    <row r="96" s="106" customFormat="1" ht="20.1" customHeight="1" spans="1:256">
      <c r="A96" s="105"/>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05"/>
      <c r="FN96" s="105"/>
      <c r="FO96" s="105"/>
      <c r="FP96" s="105"/>
      <c r="FQ96" s="105"/>
      <c r="FR96" s="105"/>
      <c r="FS96" s="105"/>
      <c r="FT96" s="105"/>
      <c r="FU96" s="105"/>
      <c r="FV96" s="105"/>
      <c r="FW96" s="105"/>
      <c r="FX96" s="105"/>
      <c r="FY96" s="105"/>
      <c r="FZ96" s="105"/>
      <c r="GA96" s="105"/>
      <c r="GB96" s="105"/>
      <c r="GC96" s="105"/>
      <c r="GD96" s="105"/>
      <c r="GE96" s="105"/>
      <c r="GF96" s="105"/>
      <c r="GG96" s="105"/>
      <c r="GH96" s="105"/>
      <c r="GI96" s="105"/>
      <c r="GJ96" s="105"/>
      <c r="GK96" s="105"/>
      <c r="GL96" s="105"/>
      <c r="GM96" s="105"/>
      <c r="GN96" s="105"/>
      <c r="GO96" s="105"/>
      <c r="GP96" s="105"/>
      <c r="GQ96" s="105"/>
      <c r="GR96" s="105"/>
      <c r="GS96" s="105"/>
      <c r="GT96" s="105"/>
      <c r="GU96" s="105"/>
      <c r="GV96" s="105"/>
      <c r="GW96" s="105"/>
      <c r="GX96" s="105"/>
      <c r="GY96" s="105"/>
      <c r="GZ96" s="105"/>
      <c r="HA96" s="105"/>
      <c r="HB96" s="105"/>
      <c r="HC96" s="105"/>
      <c r="HD96" s="105"/>
      <c r="HE96" s="105"/>
      <c r="HF96" s="105"/>
      <c r="HG96" s="105"/>
      <c r="HH96" s="105"/>
      <c r="HI96" s="105"/>
      <c r="HJ96" s="105"/>
      <c r="HK96" s="105"/>
      <c r="HL96" s="105"/>
      <c r="HM96" s="105"/>
      <c r="HN96" s="105"/>
      <c r="HO96" s="105"/>
      <c r="HP96" s="105"/>
      <c r="HQ96" s="105"/>
      <c r="HR96" s="105"/>
      <c r="HS96" s="105"/>
      <c r="HT96" s="105"/>
      <c r="HU96" s="105"/>
      <c r="HV96" s="105"/>
      <c r="HW96" s="105"/>
      <c r="HX96" s="105"/>
      <c r="HY96" s="105"/>
      <c r="HZ96" s="105"/>
      <c r="IA96" s="105"/>
      <c r="IB96" s="105"/>
      <c r="IC96" s="105"/>
      <c r="ID96" s="105"/>
      <c r="IE96" s="105"/>
      <c r="IF96" s="105"/>
      <c r="IG96" s="105"/>
      <c r="IH96" s="105"/>
      <c r="II96" s="105"/>
      <c r="IJ96" s="105"/>
      <c r="IK96" s="105"/>
      <c r="IL96" s="105"/>
      <c r="IM96" s="105"/>
      <c r="IN96" s="105"/>
      <c r="IO96" s="105"/>
      <c r="IP96" s="105"/>
      <c r="IQ96" s="105"/>
      <c r="IR96" s="105"/>
      <c r="IS96" s="105"/>
      <c r="IT96" s="105"/>
      <c r="IU96" s="105"/>
      <c r="IV96" s="105"/>
    </row>
    <row r="97" s="106" customFormat="1" ht="20.1" customHeight="1" spans="1:256">
      <c r="A97" s="105"/>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c r="GF97" s="105"/>
      <c r="GG97" s="105"/>
      <c r="GH97" s="105"/>
      <c r="GI97" s="105"/>
      <c r="GJ97" s="105"/>
      <c r="GK97" s="105"/>
      <c r="GL97" s="105"/>
      <c r="GM97" s="105"/>
      <c r="GN97" s="105"/>
      <c r="GO97" s="105"/>
      <c r="GP97" s="105"/>
      <c r="GQ97" s="105"/>
      <c r="GR97" s="105"/>
      <c r="GS97" s="105"/>
      <c r="GT97" s="105"/>
      <c r="GU97" s="105"/>
      <c r="GV97" s="105"/>
      <c r="GW97" s="105"/>
      <c r="GX97" s="105"/>
      <c r="GY97" s="105"/>
      <c r="GZ97" s="105"/>
      <c r="HA97" s="105"/>
      <c r="HB97" s="105"/>
      <c r="HC97" s="105"/>
      <c r="HD97" s="105"/>
      <c r="HE97" s="105"/>
      <c r="HF97" s="105"/>
      <c r="HG97" s="105"/>
      <c r="HH97" s="105"/>
      <c r="HI97" s="105"/>
      <c r="HJ97" s="105"/>
      <c r="HK97" s="105"/>
      <c r="HL97" s="105"/>
      <c r="HM97" s="105"/>
      <c r="HN97" s="105"/>
      <c r="HO97" s="105"/>
      <c r="HP97" s="105"/>
      <c r="HQ97" s="105"/>
      <c r="HR97" s="105"/>
      <c r="HS97" s="105"/>
      <c r="HT97" s="105"/>
      <c r="HU97" s="105"/>
      <c r="HV97" s="105"/>
      <c r="HW97" s="105"/>
      <c r="HX97" s="105"/>
      <c r="HY97" s="105"/>
      <c r="HZ97" s="105"/>
      <c r="IA97" s="105"/>
      <c r="IB97" s="105"/>
      <c r="IC97" s="105"/>
      <c r="ID97" s="105"/>
      <c r="IE97" s="105"/>
      <c r="IF97" s="105"/>
      <c r="IG97" s="105"/>
      <c r="IH97" s="105"/>
      <c r="II97" s="105"/>
      <c r="IJ97" s="105"/>
      <c r="IK97" s="105"/>
      <c r="IL97" s="105"/>
      <c r="IM97" s="105"/>
      <c r="IN97" s="105"/>
      <c r="IO97" s="105"/>
      <c r="IP97" s="105"/>
      <c r="IQ97" s="105"/>
      <c r="IR97" s="105"/>
      <c r="IS97" s="105"/>
      <c r="IT97" s="105"/>
      <c r="IU97" s="105"/>
      <c r="IV97" s="105"/>
    </row>
    <row r="98" s="106" customFormat="1" ht="20.1" customHeight="1" spans="1:256">
      <c r="A98" s="105"/>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5"/>
      <c r="GK98" s="105"/>
      <c r="GL98" s="105"/>
      <c r="GM98" s="105"/>
      <c r="GN98" s="105"/>
      <c r="GO98" s="105"/>
      <c r="GP98" s="105"/>
      <c r="GQ98" s="105"/>
      <c r="GR98" s="105"/>
      <c r="GS98" s="105"/>
      <c r="GT98" s="105"/>
      <c r="GU98" s="105"/>
      <c r="GV98" s="105"/>
      <c r="GW98" s="105"/>
      <c r="GX98" s="105"/>
      <c r="GY98" s="105"/>
      <c r="GZ98" s="105"/>
      <c r="HA98" s="105"/>
      <c r="HB98" s="105"/>
      <c r="HC98" s="105"/>
      <c r="HD98" s="105"/>
      <c r="HE98" s="105"/>
      <c r="HF98" s="105"/>
      <c r="HG98" s="105"/>
      <c r="HH98" s="105"/>
      <c r="HI98" s="105"/>
      <c r="HJ98" s="105"/>
      <c r="HK98" s="105"/>
      <c r="HL98" s="105"/>
      <c r="HM98" s="105"/>
      <c r="HN98" s="105"/>
      <c r="HO98" s="105"/>
      <c r="HP98" s="105"/>
      <c r="HQ98" s="105"/>
      <c r="HR98" s="105"/>
      <c r="HS98" s="105"/>
      <c r="HT98" s="105"/>
      <c r="HU98" s="105"/>
      <c r="HV98" s="105"/>
      <c r="HW98" s="105"/>
      <c r="HX98" s="105"/>
      <c r="HY98" s="105"/>
      <c r="HZ98" s="105"/>
      <c r="IA98" s="105"/>
      <c r="IB98" s="105"/>
      <c r="IC98" s="105"/>
      <c r="ID98" s="105"/>
      <c r="IE98" s="105"/>
      <c r="IF98" s="105"/>
      <c r="IG98" s="105"/>
      <c r="IH98" s="105"/>
      <c r="II98" s="105"/>
      <c r="IJ98" s="105"/>
      <c r="IK98" s="105"/>
      <c r="IL98" s="105"/>
      <c r="IM98" s="105"/>
      <c r="IN98" s="105"/>
      <c r="IO98" s="105"/>
      <c r="IP98" s="105"/>
      <c r="IQ98" s="105"/>
      <c r="IR98" s="105"/>
      <c r="IS98" s="105"/>
      <c r="IT98" s="105"/>
      <c r="IU98" s="105"/>
      <c r="IV98" s="105"/>
    </row>
    <row r="99" s="106" customFormat="1" ht="20.1" customHeight="1" spans="1:256">
      <c r="A99" s="105"/>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05"/>
      <c r="FN99" s="105"/>
      <c r="FO99" s="105"/>
      <c r="FP99" s="105"/>
      <c r="FQ99" s="105"/>
      <c r="FR99" s="105"/>
      <c r="FS99" s="105"/>
      <c r="FT99" s="105"/>
      <c r="FU99" s="105"/>
      <c r="FV99" s="105"/>
      <c r="FW99" s="105"/>
      <c r="FX99" s="105"/>
      <c r="FY99" s="105"/>
      <c r="FZ99" s="105"/>
      <c r="GA99" s="105"/>
      <c r="GB99" s="105"/>
      <c r="GC99" s="105"/>
      <c r="GD99" s="105"/>
      <c r="GE99" s="105"/>
      <c r="GF99" s="105"/>
      <c r="GG99" s="105"/>
      <c r="GH99" s="105"/>
      <c r="GI99" s="105"/>
      <c r="GJ99" s="105"/>
      <c r="GK99" s="105"/>
      <c r="GL99" s="105"/>
      <c r="GM99" s="105"/>
      <c r="GN99" s="105"/>
      <c r="GO99" s="105"/>
      <c r="GP99" s="105"/>
      <c r="GQ99" s="105"/>
      <c r="GR99" s="105"/>
      <c r="GS99" s="105"/>
      <c r="GT99" s="105"/>
      <c r="GU99" s="105"/>
      <c r="GV99" s="105"/>
      <c r="GW99" s="105"/>
      <c r="GX99" s="105"/>
      <c r="GY99" s="105"/>
      <c r="GZ99" s="105"/>
      <c r="HA99" s="105"/>
      <c r="HB99" s="105"/>
      <c r="HC99" s="105"/>
      <c r="HD99" s="105"/>
      <c r="HE99" s="105"/>
      <c r="HF99" s="105"/>
      <c r="HG99" s="105"/>
      <c r="HH99" s="105"/>
      <c r="HI99" s="105"/>
      <c r="HJ99" s="105"/>
      <c r="HK99" s="105"/>
      <c r="HL99" s="105"/>
      <c r="HM99" s="105"/>
      <c r="HN99" s="105"/>
      <c r="HO99" s="105"/>
      <c r="HP99" s="105"/>
      <c r="HQ99" s="105"/>
      <c r="HR99" s="105"/>
      <c r="HS99" s="105"/>
      <c r="HT99" s="105"/>
      <c r="HU99" s="105"/>
      <c r="HV99" s="105"/>
      <c r="HW99" s="105"/>
      <c r="HX99" s="105"/>
      <c r="HY99" s="105"/>
      <c r="HZ99" s="105"/>
      <c r="IA99" s="105"/>
      <c r="IB99" s="105"/>
      <c r="IC99" s="105"/>
      <c r="ID99" s="105"/>
      <c r="IE99" s="105"/>
      <c r="IF99" s="105"/>
      <c r="IG99" s="105"/>
      <c r="IH99" s="105"/>
      <c r="II99" s="105"/>
      <c r="IJ99" s="105"/>
      <c r="IK99" s="105"/>
      <c r="IL99" s="105"/>
      <c r="IM99" s="105"/>
      <c r="IN99" s="105"/>
      <c r="IO99" s="105"/>
      <c r="IP99" s="105"/>
      <c r="IQ99" s="105"/>
      <c r="IR99" s="105"/>
      <c r="IS99" s="105"/>
      <c r="IT99" s="105"/>
      <c r="IU99" s="105"/>
      <c r="IV99" s="105"/>
    </row>
    <row r="100" s="106" customFormat="1" ht="20.1" customHeight="1" spans="1:256">
      <c r="A100" s="105"/>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c r="DJ100" s="105"/>
      <c r="DK100" s="105"/>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05"/>
      <c r="FN100" s="105"/>
      <c r="FO100" s="105"/>
      <c r="FP100" s="105"/>
      <c r="FQ100" s="105"/>
      <c r="FR100" s="105"/>
      <c r="FS100" s="105"/>
      <c r="FT100" s="105"/>
      <c r="FU100" s="105"/>
      <c r="FV100" s="105"/>
      <c r="FW100" s="105"/>
      <c r="FX100" s="105"/>
      <c r="FY100" s="105"/>
      <c r="FZ100" s="105"/>
      <c r="GA100" s="105"/>
      <c r="GB100" s="105"/>
      <c r="GC100" s="105"/>
      <c r="GD100" s="105"/>
      <c r="GE100" s="105"/>
      <c r="GF100" s="105"/>
      <c r="GG100" s="105"/>
      <c r="GH100" s="105"/>
      <c r="GI100" s="105"/>
      <c r="GJ100" s="105"/>
      <c r="GK100" s="105"/>
      <c r="GL100" s="105"/>
      <c r="GM100" s="105"/>
      <c r="GN100" s="105"/>
      <c r="GO100" s="105"/>
      <c r="GP100" s="105"/>
      <c r="GQ100" s="105"/>
      <c r="GR100" s="105"/>
      <c r="GS100" s="105"/>
      <c r="GT100" s="105"/>
      <c r="GU100" s="105"/>
      <c r="GV100" s="105"/>
      <c r="GW100" s="105"/>
      <c r="GX100" s="105"/>
      <c r="GY100" s="105"/>
      <c r="GZ100" s="105"/>
      <c r="HA100" s="105"/>
      <c r="HB100" s="105"/>
      <c r="HC100" s="105"/>
      <c r="HD100" s="105"/>
      <c r="HE100" s="105"/>
      <c r="HF100" s="105"/>
      <c r="HG100" s="105"/>
      <c r="HH100" s="105"/>
      <c r="HI100" s="105"/>
      <c r="HJ100" s="105"/>
      <c r="HK100" s="105"/>
      <c r="HL100" s="105"/>
      <c r="HM100" s="105"/>
      <c r="HN100" s="105"/>
      <c r="HO100" s="105"/>
      <c r="HP100" s="105"/>
      <c r="HQ100" s="105"/>
      <c r="HR100" s="105"/>
      <c r="HS100" s="105"/>
      <c r="HT100" s="105"/>
      <c r="HU100" s="105"/>
      <c r="HV100" s="105"/>
      <c r="HW100" s="105"/>
      <c r="HX100" s="105"/>
      <c r="HY100" s="105"/>
      <c r="HZ100" s="105"/>
      <c r="IA100" s="105"/>
      <c r="IB100" s="105"/>
      <c r="IC100" s="105"/>
      <c r="ID100" s="105"/>
      <c r="IE100" s="105"/>
      <c r="IF100" s="105"/>
      <c r="IG100" s="105"/>
      <c r="IH100" s="105"/>
      <c r="II100" s="105"/>
      <c r="IJ100" s="105"/>
      <c r="IK100" s="105"/>
      <c r="IL100" s="105"/>
      <c r="IM100" s="105"/>
      <c r="IN100" s="105"/>
      <c r="IO100" s="105"/>
      <c r="IP100" s="105"/>
      <c r="IQ100" s="105"/>
      <c r="IR100" s="105"/>
      <c r="IS100" s="105"/>
      <c r="IT100" s="105"/>
      <c r="IU100" s="105"/>
      <c r="IV100" s="105"/>
    </row>
    <row r="101" s="106" customFormat="1" ht="20.1" customHeight="1" spans="1:256">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05"/>
      <c r="DK101" s="105"/>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05"/>
      <c r="FN101" s="105"/>
      <c r="FO101" s="105"/>
      <c r="FP101" s="105"/>
      <c r="FQ101" s="105"/>
      <c r="FR101" s="105"/>
      <c r="FS101" s="105"/>
      <c r="FT101" s="105"/>
      <c r="FU101" s="105"/>
      <c r="FV101" s="105"/>
      <c r="FW101" s="105"/>
      <c r="FX101" s="105"/>
      <c r="FY101" s="105"/>
      <c r="FZ101" s="105"/>
      <c r="GA101" s="105"/>
      <c r="GB101" s="105"/>
      <c r="GC101" s="105"/>
      <c r="GD101" s="105"/>
      <c r="GE101" s="105"/>
      <c r="GF101" s="105"/>
      <c r="GG101" s="105"/>
      <c r="GH101" s="105"/>
      <c r="GI101" s="105"/>
      <c r="GJ101" s="105"/>
      <c r="GK101" s="105"/>
      <c r="GL101" s="105"/>
      <c r="GM101" s="105"/>
      <c r="GN101" s="105"/>
      <c r="GO101" s="105"/>
      <c r="GP101" s="105"/>
      <c r="GQ101" s="105"/>
      <c r="GR101" s="105"/>
      <c r="GS101" s="105"/>
      <c r="GT101" s="105"/>
      <c r="GU101" s="105"/>
      <c r="GV101" s="105"/>
      <c r="GW101" s="105"/>
      <c r="GX101" s="105"/>
      <c r="GY101" s="105"/>
      <c r="GZ101" s="105"/>
      <c r="HA101" s="105"/>
      <c r="HB101" s="105"/>
      <c r="HC101" s="105"/>
      <c r="HD101" s="105"/>
      <c r="HE101" s="105"/>
      <c r="HF101" s="105"/>
      <c r="HG101" s="105"/>
      <c r="HH101" s="105"/>
      <c r="HI101" s="105"/>
      <c r="HJ101" s="105"/>
      <c r="HK101" s="105"/>
      <c r="HL101" s="105"/>
      <c r="HM101" s="105"/>
      <c r="HN101" s="105"/>
      <c r="HO101" s="105"/>
      <c r="HP101" s="105"/>
      <c r="HQ101" s="105"/>
      <c r="HR101" s="105"/>
      <c r="HS101" s="105"/>
      <c r="HT101" s="105"/>
      <c r="HU101" s="105"/>
      <c r="HV101" s="105"/>
      <c r="HW101" s="105"/>
      <c r="HX101" s="105"/>
      <c r="HY101" s="105"/>
      <c r="HZ101" s="105"/>
      <c r="IA101" s="105"/>
      <c r="IB101" s="105"/>
      <c r="IC101" s="105"/>
      <c r="ID101" s="105"/>
      <c r="IE101" s="105"/>
      <c r="IF101" s="105"/>
      <c r="IG101" s="105"/>
      <c r="IH101" s="105"/>
      <c r="II101" s="105"/>
      <c r="IJ101" s="105"/>
      <c r="IK101" s="105"/>
      <c r="IL101" s="105"/>
      <c r="IM101" s="105"/>
      <c r="IN101" s="105"/>
      <c r="IO101" s="105"/>
      <c r="IP101" s="105"/>
      <c r="IQ101" s="105"/>
      <c r="IR101" s="105"/>
      <c r="IS101" s="105"/>
      <c r="IT101" s="105"/>
      <c r="IU101" s="105"/>
      <c r="IV101" s="105"/>
    </row>
    <row r="102" s="106" customFormat="1" ht="20.1" customHeight="1" spans="1:256">
      <c r="A102" s="105"/>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c r="DJ102" s="105"/>
      <c r="DK102" s="105"/>
      <c r="DL102" s="105"/>
      <c r="DM102" s="105"/>
      <c r="DN102" s="105"/>
      <c r="DO102" s="105"/>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05"/>
      <c r="FN102" s="105"/>
      <c r="FO102" s="105"/>
      <c r="FP102" s="105"/>
      <c r="FQ102" s="105"/>
      <c r="FR102" s="105"/>
      <c r="FS102" s="105"/>
      <c r="FT102" s="105"/>
      <c r="FU102" s="105"/>
      <c r="FV102" s="105"/>
      <c r="FW102" s="105"/>
      <c r="FX102" s="105"/>
      <c r="FY102" s="105"/>
      <c r="FZ102" s="105"/>
      <c r="GA102" s="105"/>
      <c r="GB102" s="105"/>
      <c r="GC102" s="105"/>
      <c r="GD102" s="105"/>
      <c r="GE102" s="105"/>
      <c r="GF102" s="105"/>
      <c r="GG102" s="105"/>
      <c r="GH102" s="105"/>
      <c r="GI102" s="105"/>
      <c r="GJ102" s="105"/>
      <c r="GK102" s="105"/>
      <c r="GL102" s="105"/>
      <c r="GM102" s="105"/>
      <c r="GN102" s="105"/>
      <c r="GO102" s="105"/>
      <c r="GP102" s="105"/>
      <c r="GQ102" s="105"/>
      <c r="GR102" s="105"/>
      <c r="GS102" s="105"/>
      <c r="GT102" s="105"/>
      <c r="GU102" s="105"/>
      <c r="GV102" s="105"/>
      <c r="GW102" s="105"/>
      <c r="GX102" s="105"/>
      <c r="GY102" s="105"/>
      <c r="GZ102" s="105"/>
      <c r="HA102" s="105"/>
      <c r="HB102" s="105"/>
      <c r="HC102" s="105"/>
      <c r="HD102" s="105"/>
      <c r="HE102" s="105"/>
      <c r="HF102" s="105"/>
      <c r="HG102" s="105"/>
      <c r="HH102" s="105"/>
      <c r="HI102" s="105"/>
      <c r="HJ102" s="105"/>
      <c r="HK102" s="105"/>
      <c r="HL102" s="105"/>
      <c r="HM102" s="105"/>
      <c r="HN102" s="105"/>
      <c r="HO102" s="105"/>
      <c r="HP102" s="105"/>
      <c r="HQ102" s="105"/>
      <c r="HR102" s="105"/>
      <c r="HS102" s="105"/>
      <c r="HT102" s="105"/>
      <c r="HU102" s="105"/>
      <c r="HV102" s="105"/>
      <c r="HW102" s="105"/>
      <c r="HX102" s="105"/>
      <c r="HY102" s="105"/>
      <c r="HZ102" s="105"/>
      <c r="IA102" s="105"/>
      <c r="IB102" s="105"/>
      <c r="IC102" s="105"/>
      <c r="ID102" s="105"/>
      <c r="IE102" s="105"/>
      <c r="IF102" s="105"/>
      <c r="IG102" s="105"/>
      <c r="IH102" s="105"/>
      <c r="II102" s="105"/>
      <c r="IJ102" s="105"/>
      <c r="IK102" s="105"/>
      <c r="IL102" s="105"/>
      <c r="IM102" s="105"/>
      <c r="IN102" s="105"/>
      <c r="IO102" s="105"/>
      <c r="IP102" s="105"/>
      <c r="IQ102" s="105"/>
      <c r="IR102" s="105"/>
      <c r="IS102" s="105"/>
      <c r="IT102" s="105"/>
      <c r="IU102" s="105"/>
      <c r="IV102" s="105"/>
    </row>
    <row r="103" s="106" customFormat="1" ht="20.1" customHeight="1" spans="1:256">
      <c r="A103" s="105"/>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c r="DJ103" s="105"/>
      <c r="DK103" s="105"/>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05"/>
      <c r="FN103" s="105"/>
      <c r="FO103" s="105"/>
      <c r="FP103" s="105"/>
      <c r="FQ103" s="105"/>
      <c r="FR103" s="105"/>
      <c r="FS103" s="105"/>
      <c r="FT103" s="105"/>
      <c r="FU103" s="105"/>
      <c r="FV103" s="105"/>
      <c r="FW103" s="105"/>
      <c r="FX103" s="105"/>
      <c r="FY103" s="105"/>
      <c r="FZ103" s="105"/>
      <c r="GA103" s="105"/>
      <c r="GB103" s="105"/>
      <c r="GC103" s="105"/>
      <c r="GD103" s="105"/>
      <c r="GE103" s="105"/>
      <c r="GF103" s="105"/>
      <c r="GG103" s="105"/>
      <c r="GH103" s="105"/>
      <c r="GI103" s="105"/>
      <c r="GJ103" s="105"/>
      <c r="GK103" s="105"/>
      <c r="GL103" s="105"/>
      <c r="GM103" s="105"/>
      <c r="GN103" s="105"/>
      <c r="GO103" s="105"/>
      <c r="GP103" s="105"/>
      <c r="GQ103" s="105"/>
      <c r="GR103" s="105"/>
      <c r="GS103" s="105"/>
      <c r="GT103" s="105"/>
      <c r="GU103" s="105"/>
      <c r="GV103" s="105"/>
      <c r="GW103" s="105"/>
      <c r="GX103" s="105"/>
      <c r="GY103" s="105"/>
      <c r="GZ103" s="105"/>
      <c r="HA103" s="105"/>
      <c r="HB103" s="105"/>
      <c r="HC103" s="105"/>
      <c r="HD103" s="105"/>
      <c r="HE103" s="105"/>
      <c r="HF103" s="105"/>
      <c r="HG103" s="105"/>
      <c r="HH103" s="105"/>
      <c r="HI103" s="105"/>
      <c r="HJ103" s="105"/>
      <c r="HK103" s="105"/>
      <c r="HL103" s="105"/>
      <c r="HM103" s="105"/>
      <c r="HN103" s="105"/>
      <c r="HO103" s="105"/>
      <c r="HP103" s="105"/>
      <c r="HQ103" s="105"/>
      <c r="HR103" s="105"/>
      <c r="HS103" s="105"/>
      <c r="HT103" s="105"/>
      <c r="HU103" s="105"/>
      <c r="HV103" s="105"/>
      <c r="HW103" s="105"/>
      <c r="HX103" s="105"/>
      <c r="HY103" s="105"/>
      <c r="HZ103" s="105"/>
      <c r="IA103" s="105"/>
      <c r="IB103" s="105"/>
      <c r="IC103" s="105"/>
      <c r="ID103" s="105"/>
      <c r="IE103" s="105"/>
      <c r="IF103" s="105"/>
      <c r="IG103" s="105"/>
      <c r="IH103" s="105"/>
      <c r="II103" s="105"/>
      <c r="IJ103" s="105"/>
      <c r="IK103" s="105"/>
      <c r="IL103" s="105"/>
      <c r="IM103" s="105"/>
      <c r="IN103" s="105"/>
      <c r="IO103" s="105"/>
      <c r="IP103" s="105"/>
      <c r="IQ103" s="105"/>
      <c r="IR103" s="105"/>
      <c r="IS103" s="105"/>
      <c r="IT103" s="105"/>
      <c r="IU103" s="105"/>
      <c r="IV103" s="105"/>
    </row>
    <row r="104" s="106" customFormat="1" ht="20.1" customHeight="1" spans="1:256">
      <c r="A104" s="105"/>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c r="DJ104" s="105"/>
      <c r="DK104" s="105"/>
      <c r="DL104" s="105"/>
      <c r="DM104" s="105"/>
      <c r="DN104" s="105"/>
      <c r="DO104" s="105"/>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05"/>
      <c r="FN104" s="105"/>
      <c r="FO104" s="105"/>
      <c r="FP104" s="105"/>
      <c r="FQ104" s="105"/>
      <c r="FR104" s="105"/>
      <c r="FS104" s="105"/>
      <c r="FT104" s="105"/>
      <c r="FU104" s="105"/>
      <c r="FV104" s="105"/>
      <c r="FW104" s="105"/>
      <c r="FX104" s="105"/>
      <c r="FY104" s="105"/>
      <c r="FZ104" s="105"/>
      <c r="GA104" s="105"/>
      <c r="GB104" s="105"/>
      <c r="GC104" s="105"/>
      <c r="GD104" s="105"/>
      <c r="GE104" s="105"/>
      <c r="GF104" s="105"/>
      <c r="GG104" s="105"/>
      <c r="GH104" s="105"/>
      <c r="GI104" s="105"/>
      <c r="GJ104" s="105"/>
      <c r="GK104" s="105"/>
      <c r="GL104" s="105"/>
      <c r="GM104" s="105"/>
      <c r="GN104" s="105"/>
      <c r="GO104" s="105"/>
      <c r="GP104" s="105"/>
      <c r="GQ104" s="105"/>
      <c r="GR104" s="105"/>
      <c r="GS104" s="105"/>
      <c r="GT104" s="105"/>
      <c r="GU104" s="105"/>
      <c r="GV104" s="105"/>
      <c r="GW104" s="105"/>
      <c r="GX104" s="105"/>
      <c r="GY104" s="105"/>
      <c r="GZ104" s="105"/>
      <c r="HA104" s="105"/>
      <c r="HB104" s="105"/>
      <c r="HC104" s="105"/>
      <c r="HD104" s="105"/>
      <c r="HE104" s="105"/>
      <c r="HF104" s="105"/>
      <c r="HG104" s="105"/>
      <c r="HH104" s="105"/>
      <c r="HI104" s="105"/>
      <c r="HJ104" s="105"/>
      <c r="HK104" s="105"/>
      <c r="HL104" s="105"/>
      <c r="HM104" s="105"/>
      <c r="HN104" s="105"/>
      <c r="HO104" s="105"/>
      <c r="HP104" s="105"/>
      <c r="HQ104" s="105"/>
      <c r="HR104" s="105"/>
      <c r="HS104" s="105"/>
      <c r="HT104" s="105"/>
      <c r="HU104" s="105"/>
      <c r="HV104" s="105"/>
      <c r="HW104" s="105"/>
      <c r="HX104" s="105"/>
      <c r="HY104" s="105"/>
      <c r="HZ104" s="105"/>
      <c r="IA104" s="105"/>
      <c r="IB104" s="105"/>
      <c r="IC104" s="105"/>
      <c r="ID104" s="105"/>
      <c r="IE104" s="105"/>
      <c r="IF104" s="105"/>
      <c r="IG104" s="105"/>
      <c r="IH104" s="105"/>
      <c r="II104" s="105"/>
      <c r="IJ104" s="105"/>
      <c r="IK104" s="105"/>
      <c r="IL104" s="105"/>
      <c r="IM104" s="105"/>
      <c r="IN104" s="105"/>
      <c r="IO104" s="105"/>
      <c r="IP104" s="105"/>
      <c r="IQ104" s="105"/>
      <c r="IR104" s="105"/>
      <c r="IS104" s="105"/>
      <c r="IT104" s="105"/>
      <c r="IU104" s="105"/>
      <c r="IV104" s="105"/>
    </row>
    <row r="105" s="106" customFormat="1" ht="20.1" customHeight="1" spans="1:256">
      <c r="A105" s="105"/>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c r="DJ105" s="105"/>
      <c r="DK105" s="105"/>
      <c r="DL105" s="105"/>
      <c r="DM105" s="105"/>
      <c r="DN105" s="105"/>
      <c r="DO105" s="105"/>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05"/>
      <c r="FN105" s="105"/>
      <c r="FO105" s="105"/>
      <c r="FP105" s="105"/>
      <c r="FQ105" s="105"/>
      <c r="FR105" s="105"/>
      <c r="FS105" s="105"/>
      <c r="FT105" s="105"/>
      <c r="FU105" s="105"/>
      <c r="FV105" s="105"/>
      <c r="FW105" s="105"/>
      <c r="FX105" s="105"/>
      <c r="FY105" s="105"/>
      <c r="FZ105" s="105"/>
      <c r="GA105" s="105"/>
      <c r="GB105" s="105"/>
      <c r="GC105" s="105"/>
      <c r="GD105" s="105"/>
      <c r="GE105" s="105"/>
      <c r="GF105" s="105"/>
      <c r="GG105" s="105"/>
      <c r="GH105" s="105"/>
      <c r="GI105" s="105"/>
      <c r="GJ105" s="105"/>
      <c r="GK105" s="105"/>
      <c r="GL105" s="105"/>
      <c r="GM105" s="105"/>
      <c r="GN105" s="105"/>
      <c r="GO105" s="105"/>
      <c r="GP105" s="105"/>
      <c r="GQ105" s="105"/>
      <c r="GR105" s="105"/>
      <c r="GS105" s="105"/>
      <c r="GT105" s="105"/>
      <c r="GU105" s="105"/>
      <c r="GV105" s="105"/>
      <c r="GW105" s="105"/>
      <c r="GX105" s="105"/>
      <c r="GY105" s="105"/>
      <c r="GZ105" s="105"/>
      <c r="HA105" s="105"/>
      <c r="HB105" s="105"/>
      <c r="HC105" s="105"/>
      <c r="HD105" s="105"/>
      <c r="HE105" s="105"/>
      <c r="HF105" s="105"/>
      <c r="HG105" s="105"/>
      <c r="HH105" s="105"/>
      <c r="HI105" s="105"/>
      <c r="HJ105" s="105"/>
      <c r="HK105" s="105"/>
      <c r="HL105" s="105"/>
      <c r="HM105" s="105"/>
      <c r="HN105" s="105"/>
      <c r="HO105" s="105"/>
      <c r="HP105" s="105"/>
      <c r="HQ105" s="105"/>
      <c r="HR105" s="105"/>
      <c r="HS105" s="105"/>
      <c r="HT105" s="105"/>
      <c r="HU105" s="105"/>
      <c r="HV105" s="105"/>
      <c r="HW105" s="105"/>
      <c r="HX105" s="105"/>
      <c r="HY105" s="105"/>
      <c r="HZ105" s="105"/>
      <c r="IA105" s="105"/>
      <c r="IB105" s="105"/>
      <c r="IC105" s="105"/>
      <c r="ID105" s="105"/>
      <c r="IE105" s="105"/>
      <c r="IF105" s="105"/>
      <c r="IG105" s="105"/>
      <c r="IH105" s="105"/>
      <c r="II105" s="105"/>
      <c r="IJ105" s="105"/>
      <c r="IK105" s="105"/>
      <c r="IL105" s="105"/>
      <c r="IM105" s="105"/>
      <c r="IN105" s="105"/>
      <c r="IO105" s="105"/>
      <c r="IP105" s="105"/>
      <c r="IQ105" s="105"/>
      <c r="IR105" s="105"/>
      <c r="IS105" s="105"/>
      <c r="IT105" s="105"/>
      <c r="IU105" s="105"/>
      <c r="IV105" s="105"/>
    </row>
    <row r="106" s="106" customFormat="1" ht="20.1" customHeight="1" spans="1:256">
      <c r="A106" s="10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c r="DJ106" s="105"/>
      <c r="DK106" s="105"/>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05"/>
      <c r="FN106" s="105"/>
      <c r="FO106" s="105"/>
      <c r="FP106" s="105"/>
      <c r="FQ106" s="105"/>
      <c r="FR106" s="105"/>
      <c r="FS106" s="105"/>
      <c r="FT106" s="105"/>
      <c r="FU106" s="105"/>
      <c r="FV106" s="105"/>
      <c r="FW106" s="105"/>
      <c r="FX106" s="105"/>
      <c r="FY106" s="105"/>
      <c r="FZ106" s="105"/>
      <c r="GA106" s="105"/>
      <c r="GB106" s="105"/>
      <c r="GC106" s="105"/>
      <c r="GD106" s="105"/>
      <c r="GE106" s="105"/>
      <c r="GF106" s="105"/>
      <c r="GG106" s="105"/>
      <c r="GH106" s="105"/>
      <c r="GI106" s="105"/>
      <c r="GJ106" s="105"/>
      <c r="GK106" s="105"/>
      <c r="GL106" s="105"/>
      <c r="GM106" s="105"/>
      <c r="GN106" s="105"/>
      <c r="GO106" s="105"/>
      <c r="GP106" s="105"/>
      <c r="GQ106" s="105"/>
      <c r="GR106" s="105"/>
      <c r="GS106" s="105"/>
      <c r="GT106" s="105"/>
      <c r="GU106" s="105"/>
      <c r="GV106" s="105"/>
      <c r="GW106" s="105"/>
      <c r="GX106" s="105"/>
      <c r="GY106" s="105"/>
      <c r="GZ106" s="105"/>
      <c r="HA106" s="105"/>
      <c r="HB106" s="105"/>
      <c r="HC106" s="105"/>
      <c r="HD106" s="105"/>
      <c r="HE106" s="105"/>
      <c r="HF106" s="105"/>
      <c r="HG106" s="105"/>
      <c r="HH106" s="105"/>
      <c r="HI106" s="105"/>
      <c r="HJ106" s="105"/>
      <c r="HK106" s="105"/>
      <c r="HL106" s="105"/>
      <c r="HM106" s="105"/>
      <c r="HN106" s="105"/>
      <c r="HO106" s="105"/>
      <c r="HP106" s="105"/>
      <c r="HQ106" s="105"/>
      <c r="HR106" s="105"/>
      <c r="HS106" s="105"/>
      <c r="HT106" s="105"/>
      <c r="HU106" s="105"/>
      <c r="HV106" s="105"/>
      <c r="HW106" s="105"/>
      <c r="HX106" s="105"/>
      <c r="HY106" s="105"/>
      <c r="HZ106" s="105"/>
      <c r="IA106" s="105"/>
      <c r="IB106" s="105"/>
      <c r="IC106" s="105"/>
      <c r="ID106" s="105"/>
      <c r="IE106" s="105"/>
      <c r="IF106" s="105"/>
      <c r="IG106" s="105"/>
      <c r="IH106" s="105"/>
      <c r="II106" s="105"/>
      <c r="IJ106" s="105"/>
      <c r="IK106" s="105"/>
      <c r="IL106" s="105"/>
      <c r="IM106" s="105"/>
      <c r="IN106" s="105"/>
      <c r="IO106" s="105"/>
      <c r="IP106" s="105"/>
      <c r="IQ106" s="105"/>
      <c r="IR106" s="105"/>
      <c r="IS106" s="105"/>
      <c r="IT106" s="105"/>
      <c r="IU106" s="105"/>
      <c r="IV106" s="105"/>
    </row>
    <row r="107" s="106" customFormat="1" ht="20.1" customHeight="1" spans="1:256">
      <c r="A107" s="105"/>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c r="DJ107" s="105"/>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05"/>
      <c r="FN107" s="105"/>
      <c r="FO107" s="105"/>
      <c r="FP107" s="105"/>
      <c r="FQ107" s="105"/>
      <c r="FR107" s="105"/>
      <c r="FS107" s="105"/>
      <c r="FT107" s="105"/>
      <c r="FU107" s="105"/>
      <c r="FV107" s="105"/>
      <c r="FW107" s="105"/>
      <c r="FX107" s="105"/>
      <c r="FY107" s="105"/>
      <c r="FZ107" s="105"/>
      <c r="GA107" s="105"/>
      <c r="GB107" s="105"/>
      <c r="GC107" s="105"/>
      <c r="GD107" s="105"/>
      <c r="GE107" s="105"/>
      <c r="GF107" s="105"/>
      <c r="GG107" s="105"/>
      <c r="GH107" s="105"/>
      <c r="GI107" s="105"/>
      <c r="GJ107" s="105"/>
      <c r="GK107" s="105"/>
      <c r="GL107" s="105"/>
      <c r="GM107" s="105"/>
      <c r="GN107" s="105"/>
      <c r="GO107" s="105"/>
      <c r="GP107" s="105"/>
      <c r="GQ107" s="105"/>
      <c r="GR107" s="105"/>
      <c r="GS107" s="105"/>
      <c r="GT107" s="105"/>
      <c r="GU107" s="105"/>
      <c r="GV107" s="105"/>
      <c r="GW107" s="105"/>
      <c r="GX107" s="105"/>
      <c r="GY107" s="105"/>
      <c r="GZ107" s="105"/>
      <c r="HA107" s="105"/>
      <c r="HB107" s="105"/>
      <c r="HC107" s="105"/>
      <c r="HD107" s="105"/>
      <c r="HE107" s="105"/>
      <c r="HF107" s="105"/>
      <c r="HG107" s="105"/>
      <c r="HH107" s="105"/>
      <c r="HI107" s="105"/>
      <c r="HJ107" s="105"/>
      <c r="HK107" s="105"/>
      <c r="HL107" s="105"/>
      <c r="HM107" s="105"/>
      <c r="HN107" s="105"/>
      <c r="HO107" s="105"/>
      <c r="HP107" s="105"/>
      <c r="HQ107" s="105"/>
      <c r="HR107" s="105"/>
      <c r="HS107" s="105"/>
      <c r="HT107" s="105"/>
      <c r="HU107" s="105"/>
      <c r="HV107" s="105"/>
      <c r="HW107" s="105"/>
      <c r="HX107" s="105"/>
      <c r="HY107" s="105"/>
      <c r="HZ107" s="105"/>
      <c r="IA107" s="105"/>
      <c r="IB107" s="105"/>
      <c r="IC107" s="105"/>
      <c r="ID107" s="105"/>
      <c r="IE107" s="105"/>
      <c r="IF107" s="105"/>
      <c r="IG107" s="105"/>
      <c r="IH107" s="105"/>
      <c r="II107" s="105"/>
      <c r="IJ107" s="105"/>
      <c r="IK107" s="105"/>
      <c r="IL107" s="105"/>
      <c r="IM107" s="105"/>
      <c r="IN107" s="105"/>
      <c r="IO107" s="105"/>
      <c r="IP107" s="105"/>
      <c r="IQ107" s="105"/>
      <c r="IR107" s="105"/>
      <c r="IS107" s="105"/>
      <c r="IT107" s="105"/>
      <c r="IU107" s="105"/>
      <c r="IV107" s="105"/>
    </row>
    <row r="108" s="106" customFormat="1" ht="20.1" customHeight="1" spans="1:256">
      <c r="A108" s="105"/>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5"/>
      <c r="DA108" s="105"/>
      <c r="DB108" s="105"/>
      <c r="DC108" s="105"/>
      <c r="DD108" s="105"/>
      <c r="DE108" s="105"/>
      <c r="DF108" s="105"/>
      <c r="DG108" s="105"/>
      <c r="DH108" s="105"/>
      <c r="DI108" s="105"/>
      <c r="DJ108" s="105"/>
      <c r="DK108" s="105"/>
      <c r="DL108" s="105"/>
      <c r="DM108" s="105"/>
      <c r="DN108" s="105"/>
      <c r="DO108" s="105"/>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05"/>
      <c r="FN108" s="105"/>
      <c r="FO108" s="105"/>
      <c r="FP108" s="105"/>
      <c r="FQ108" s="105"/>
      <c r="FR108" s="105"/>
      <c r="FS108" s="105"/>
      <c r="FT108" s="105"/>
      <c r="FU108" s="105"/>
      <c r="FV108" s="105"/>
      <c r="FW108" s="105"/>
      <c r="FX108" s="105"/>
      <c r="FY108" s="105"/>
      <c r="FZ108" s="105"/>
      <c r="GA108" s="105"/>
      <c r="GB108" s="105"/>
      <c r="GC108" s="105"/>
      <c r="GD108" s="105"/>
      <c r="GE108" s="105"/>
      <c r="GF108" s="105"/>
      <c r="GG108" s="105"/>
      <c r="GH108" s="105"/>
      <c r="GI108" s="105"/>
      <c r="GJ108" s="105"/>
      <c r="GK108" s="105"/>
      <c r="GL108" s="105"/>
      <c r="GM108" s="105"/>
      <c r="GN108" s="105"/>
      <c r="GO108" s="105"/>
      <c r="GP108" s="105"/>
      <c r="GQ108" s="105"/>
      <c r="GR108" s="105"/>
      <c r="GS108" s="105"/>
      <c r="GT108" s="105"/>
      <c r="GU108" s="105"/>
      <c r="GV108" s="105"/>
      <c r="GW108" s="105"/>
      <c r="GX108" s="105"/>
      <c r="GY108" s="105"/>
      <c r="GZ108" s="105"/>
      <c r="HA108" s="105"/>
      <c r="HB108" s="105"/>
      <c r="HC108" s="105"/>
      <c r="HD108" s="105"/>
      <c r="HE108" s="105"/>
      <c r="HF108" s="105"/>
      <c r="HG108" s="105"/>
      <c r="HH108" s="105"/>
      <c r="HI108" s="105"/>
      <c r="HJ108" s="105"/>
      <c r="HK108" s="105"/>
      <c r="HL108" s="105"/>
      <c r="HM108" s="105"/>
      <c r="HN108" s="105"/>
      <c r="HO108" s="105"/>
      <c r="HP108" s="105"/>
      <c r="HQ108" s="105"/>
      <c r="HR108" s="105"/>
      <c r="HS108" s="105"/>
      <c r="HT108" s="105"/>
      <c r="HU108" s="105"/>
      <c r="HV108" s="105"/>
      <c r="HW108" s="105"/>
      <c r="HX108" s="105"/>
      <c r="HY108" s="105"/>
      <c r="HZ108" s="105"/>
      <c r="IA108" s="105"/>
      <c r="IB108" s="105"/>
      <c r="IC108" s="105"/>
      <c r="ID108" s="105"/>
      <c r="IE108" s="105"/>
      <c r="IF108" s="105"/>
      <c r="IG108" s="105"/>
      <c r="IH108" s="105"/>
      <c r="II108" s="105"/>
      <c r="IJ108" s="105"/>
      <c r="IK108" s="105"/>
      <c r="IL108" s="105"/>
      <c r="IM108" s="105"/>
      <c r="IN108" s="105"/>
      <c r="IO108" s="105"/>
      <c r="IP108" s="105"/>
      <c r="IQ108" s="105"/>
      <c r="IR108" s="105"/>
      <c r="IS108" s="105"/>
      <c r="IT108" s="105"/>
      <c r="IU108" s="105"/>
      <c r="IV108" s="105"/>
    </row>
    <row r="109" s="106" customFormat="1" ht="20.1" customHeight="1" spans="1:256">
      <c r="A109" s="105"/>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c r="GF109" s="105"/>
      <c r="GG109" s="105"/>
      <c r="GH109" s="105"/>
      <c r="GI109" s="105"/>
      <c r="GJ109" s="105"/>
      <c r="GK109" s="105"/>
      <c r="GL109" s="105"/>
      <c r="GM109" s="105"/>
      <c r="GN109" s="105"/>
      <c r="GO109" s="105"/>
      <c r="GP109" s="105"/>
      <c r="GQ109" s="105"/>
      <c r="GR109" s="105"/>
      <c r="GS109" s="105"/>
      <c r="GT109" s="105"/>
      <c r="GU109" s="105"/>
      <c r="GV109" s="105"/>
      <c r="GW109" s="105"/>
      <c r="GX109" s="105"/>
      <c r="GY109" s="105"/>
      <c r="GZ109" s="105"/>
      <c r="HA109" s="105"/>
      <c r="HB109" s="105"/>
      <c r="HC109" s="105"/>
      <c r="HD109" s="105"/>
      <c r="HE109" s="105"/>
      <c r="HF109" s="105"/>
      <c r="HG109" s="105"/>
      <c r="HH109" s="105"/>
      <c r="HI109" s="105"/>
      <c r="HJ109" s="105"/>
      <c r="HK109" s="105"/>
      <c r="HL109" s="105"/>
      <c r="HM109" s="105"/>
      <c r="HN109" s="105"/>
      <c r="HO109" s="105"/>
      <c r="HP109" s="105"/>
      <c r="HQ109" s="105"/>
      <c r="HR109" s="105"/>
      <c r="HS109" s="105"/>
      <c r="HT109" s="105"/>
      <c r="HU109" s="105"/>
      <c r="HV109" s="105"/>
      <c r="HW109" s="105"/>
      <c r="HX109" s="105"/>
      <c r="HY109" s="105"/>
      <c r="HZ109" s="105"/>
      <c r="IA109" s="105"/>
      <c r="IB109" s="105"/>
      <c r="IC109" s="105"/>
      <c r="ID109" s="105"/>
      <c r="IE109" s="105"/>
      <c r="IF109" s="105"/>
      <c r="IG109" s="105"/>
      <c r="IH109" s="105"/>
      <c r="II109" s="105"/>
      <c r="IJ109" s="105"/>
      <c r="IK109" s="105"/>
      <c r="IL109" s="105"/>
      <c r="IM109" s="105"/>
      <c r="IN109" s="105"/>
      <c r="IO109" s="105"/>
      <c r="IP109" s="105"/>
      <c r="IQ109" s="105"/>
      <c r="IR109" s="105"/>
      <c r="IS109" s="105"/>
      <c r="IT109" s="105"/>
      <c r="IU109" s="105"/>
      <c r="IV109" s="105"/>
    </row>
    <row r="110" s="106" customFormat="1" ht="20.1" customHeight="1" spans="1:256">
      <c r="A110" s="105"/>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5"/>
      <c r="DA110" s="105"/>
      <c r="DB110" s="105"/>
      <c r="DC110" s="105"/>
      <c r="DD110" s="105"/>
      <c r="DE110" s="105"/>
      <c r="DF110" s="105"/>
      <c r="DG110" s="105"/>
      <c r="DH110" s="105"/>
      <c r="DI110" s="105"/>
      <c r="DJ110" s="105"/>
      <c r="DK110" s="105"/>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05"/>
      <c r="FN110" s="105"/>
      <c r="FO110" s="105"/>
      <c r="FP110" s="105"/>
      <c r="FQ110" s="105"/>
      <c r="FR110" s="105"/>
      <c r="FS110" s="105"/>
      <c r="FT110" s="105"/>
      <c r="FU110" s="105"/>
      <c r="FV110" s="105"/>
      <c r="FW110" s="105"/>
      <c r="FX110" s="105"/>
      <c r="FY110" s="105"/>
      <c r="FZ110" s="105"/>
      <c r="GA110" s="105"/>
      <c r="GB110" s="105"/>
      <c r="GC110" s="105"/>
      <c r="GD110" s="105"/>
      <c r="GE110" s="105"/>
      <c r="GF110" s="105"/>
      <c r="GG110" s="105"/>
      <c r="GH110" s="105"/>
      <c r="GI110" s="105"/>
      <c r="GJ110" s="105"/>
      <c r="GK110" s="105"/>
      <c r="GL110" s="105"/>
      <c r="GM110" s="105"/>
      <c r="GN110" s="105"/>
      <c r="GO110" s="105"/>
      <c r="GP110" s="105"/>
      <c r="GQ110" s="105"/>
      <c r="GR110" s="105"/>
      <c r="GS110" s="105"/>
      <c r="GT110" s="105"/>
      <c r="GU110" s="105"/>
      <c r="GV110" s="105"/>
      <c r="GW110" s="105"/>
      <c r="GX110" s="105"/>
      <c r="GY110" s="105"/>
      <c r="GZ110" s="105"/>
      <c r="HA110" s="105"/>
      <c r="HB110" s="105"/>
      <c r="HC110" s="105"/>
      <c r="HD110" s="105"/>
      <c r="HE110" s="105"/>
      <c r="HF110" s="105"/>
      <c r="HG110" s="105"/>
      <c r="HH110" s="105"/>
      <c r="HI110" s="105"/>
      <c r="HJ110" s="105"/>
      <c r="HK110" s="105"/>
      <c r="HL110" s="105"/>
      <c r="HM110" s="105"/>
      <c r="HN110" s="105"/>
      <c r="HO110" s="105"/>
      <c r="HP110" s="105"/>
      <c r="HQ110" s="105"/>
      <c r="HR110" s="105"/>
      <c r="HS110" s="105"/>
      <c r="HT110" s="105"/>
      <c r="HU110" s="105"/>
      <c r="HV110" s="105"/>
      <c r="HW110" s="105"/>
      <c r="HX110" s="105"/>
      <c r="HY110" s="105"/>
      <c r="HZ110" s="105"/>
      <c r="IA110" s="105"/>
      <c r="IB110" s="105"/>
      <c r="IC110" s="105"/>
      <c r="ID110" s="105"/>
      <c r="IE110" s="105"/>
      <c r="IF110" s="105"/>
      <c r="IG110" s="105"/>
      <c r="IH110" s="105"/>
      <c r="II110" s="105"/>
      <c r="IJ110" s="105"/>
      <c r="IK110" s="105"/>
      <c r="IL110" s="105"/>
      <c r="IM110" s="105"/>
      <c r="IN110" s="105"/>
      <c r="IO110" s="105"/>
      <c r="IP110" s="105"/>
      <c r="IQ110" s="105"/>
      <c r="IR110" s="105"/>
      <c r="IS110" s="105"/>
      <c r="IT110" s="105"/>
      <c r="IU110" s="105"/>
      <c r="IV110" s="105"/>
    </row>
    <row r="111" s="106" customFormat="1" ht="20.1" customHeight="1" spans="1:256">
      <c r="A111" s="105"/>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c r="GF111" s="105"/>
      <c r="GG111" s="105"/>
      <c r="GH111" s="105"/>
      <c r="GI111" s="105"/>
      <c r="GJ111" s="105"/>
      <c r="GK111" s="105"/>
      <c r="GL111" s="105"/>
      <c r="GM111" s="105"/>
      <c r="GN111" s="105"/>
      <c r="GO111" s="105"/>
      <c r="GP111" s="105"/>
      <c r="GQ111" s="105"/>
      <c r="GR111" s="105"/>
      <c r="GS111" s="105"/>
      <c r="GT111" s="105"/>
      <c r="GU111" s="105"/>
      <c r="GV111" s="105"/>
      <c r="GW111" s="105"/>
      <c r="GX111" s="105"/>
      <c r="GY111" s="105"/>
      <c r="GZ111" s="105"/>
      <c r="HA111" s="105"/>
      <c r="HB111" s="105"/>
      <c r="HC111" s="105"/>
      <c r="HD111" s="105"/>
      <c r="HE111" s="105"/>
      <c r="HF111" s="105"/>
      <c r="HG111" s="105"/>
      <c r="HH111" s="105"/>
      <c r="HI111" s="105"/>
      <c r="HJ111" s="105"/>
      <c r="HK111" s="105"/>
      <c r="HL111" s="105"/>
      <c r="HM111" s="105"/>
      <c r="HN111" s="105"/>
      <c r="HO111" s="105"/>
      <c r="HP111" s="105"/>
      <c r="HQ111" s="105"/>
      <c r="HR111" s="105"/>
      <c r="HS111" s="105"/>
      <c r="HT111" s="105"/>
      <c r="HU111" s="105"/>
      <c r="HV111" s="105"/>
      <c r="HW111" s="105"/>
      <c r="HX111" s="105"/>
      <c r="HY111" s="105"/>
      <c r="HZ111" s="105"/>
      <c r="IA111" s="105"/>
      <c r="IB111" s="105"/>
      <c r="IC111" s="105"/>
      <c r="ID111" s="105"/>
      <c r="IE111" s="105"/>
      <c r="IF111" s="105"/>
      <c r="IG111" s="105"/>
      <c r="IH111" s="105"/>
      <c r="II111" s="105"/>
      <c r="IJ111" s="105"/>
      <c r="IK111" s="105"/>
      <c r="IL111" s="105"/>
      <c r="IM111" s="105"/>
      <c r="IN111" s="105"/>
      <c r="IO111" s="105"/>
      <c r="IP111" s="105"/>
      <c r="IQ111" s="105"/>
      <c r="IR111" s="105"/>
      <c r="IS111" s="105"/>
      <c r="IT111" s="105"/>
      <c r="IU111" s="105"/>
      <c r="IV111" s="105"/>
    </row>
    <row r="112" s="106" customFormat="1" ht="20.1" customHeight="1" spans="1:256">
      <c r="A112" s="105"/>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5"/>
      <c r="DA112" s="105"/>
      <c r="DB112" s="105"/>
      <c r="DC112" s="105"/>
      <c r="DD112" s="105"/>
      <c r="DE112" s="105"/>
      <c r="DF112" s="105"/>
      <c r="DG112" s="105"/>
      <c r="DH112" s="105"/>
      <c r="DI112" s="105"/>
      <c r="DJ112" s="105"/>
      <c r="DK112" s="105"/>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05"/>
      <c r="FN112" s="105"/>
      <c r="FO112" s="105"/>
      <c r="FP112" s="105"/>
      <c r="FQ112" s="105"/>
      <c r="FR112" s="105"/>
      <c r="FS112" s="105"/>
      <c r="FT112" s="105"/>
      <c r="FU112" s="105"/>
      <c r="FV112" s="105"/>
      <c r="FW112" s="105"/>
      <c r="FX112" s="105"/>
      <c r="FY112" s="105"/>
      <c r="FZ112" s="105"/>
      <c r="GA112" s="105"/>
      <c r="GB112" s="105"/>
      <c r="GC112" s="105"/>
      <c r="GD112" s="105"/>
      <c r="GE112" s="105"/>
      <c r="GF112" s="105"/>
      <c r="GG112" s="105"/>
      <c r="GH112" s="105"/>
      <c r="GI112" s="105"/>
      <c r="GJ112" s="105"/>
      <c r="GK112" s="105"/>
      <c r="GL112" s="105"/>
      <c r="GM112" s="105"/>
      <c r="GN112" s="105"/>
      <c r="GO112" s="105"/>
      <c r="GP112" s="105"/>
      <c r="GQ112" s="105"/>
      <c r="GR112" s="105"/>
      <c r="GS112" s="105"/>
      <c r="GT112" s="105"/>
      <c r="GU112" s="105"/>
      <c r="GV112" s="105"/>
      <c r="GW112" s="105"/>
      <c r="GX112" s="105"/>
      <c r="GY112" s="105"/>
      <c r="GZ112" s="105"/>
      <c r="HA112" s="105"/>
      <c r="HB112" s="105"/>
      <c r="HC112" s="105"/>
      <c r="HD112" s="105"/>
      <c r="HE112" s="105"/>
      <c r="HF112" s="105"/>
      <c r="HG112" s="105"/>
      <c r="HH112" s="105"/>
      <c r="HI112" s="105"/>
      <c r="HJ112" s="105"/>
      <c r="HK112" s="105"/>
      <c r="HL112" s="105"/>
      <c r="HM112" s="105"/>
      <c r="HN112" s="105"/>
      <c r="HO112" s="105"/>
      <c r="HP112" s="105"/>
      <c r="HQ112" s="105"/>
      <c r="HR112" s="105"/>
      <c r="HS112" s="105"/>
      <c r="HT112" s="105"/>
      <c r="HU112" s="105"/>
      <c r="HV112" s="105"/>
      <c r="HW112" s="105"/>
      <c r="HX112" s="105"/>
      <c r="HY112" s="105"/>
      <c r="HZ112" s="105"/>
      <c r="IA112" s="105"/>
      <c r="IB112" s="105"/>
      <c r="IC112" s="105"/>
      <c r="ID112" s="105"/>
      <c r="IE112" s="105"/>
      <c r="IF112" s="105"/>
      <c r="IG112" s="105"/>
      <c r="IH112" s="105"/>
      <c r="II112" s="105"/>
      <c r="IJ112" s="105"/>
      <c r="IK112" s="105"/>
      <c r="IL112" s="105"/>
      <c r="IM112" s="105"/>
      <c r="IN112" s="105"/>
      <c r="IO112" s="105"/>
      <c r="IP112" s="105"/>
      <c r="IQ112" s="105"/>
      <c r="IR112" s="105"/>
      <c r="IS112" s="105"/>
      <c r="IT112" s="105"/>
      <c r="IU112" s="105"/>
      <c r="IV112" s="105"/>
    </row>
    <row r="113" s="106" customFormat="1" ht="20.1" customHeight="1" spans="1:256">
      <c r="A113" s="10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c r="GF113" s="105"/>
      <c r="GG113" s="105"/>
      <c r="GH113" s="105"/>
      <c r="GI113" s="105"/>
      <c r="GJ113" s="105"/>
      <c r="GK113" s="105"/>
      <c r="GL113" s="105"/>
      <c r="GM113" s="105"/>
      <c r="GN113" s="105"/>
      <c r="GO113" s="105"/>
      <c r="GP113" s="105"/>
      <c r="GQ113" s="105"/>
      <c r="GR113" s="105"/>
      <c r="GS113" s="105"/>
      <c r="GT113" s="105"/>
      <c r="GU113" s="105"/>
      <c r="GV113" s="105"/>
      <c r="GW113" s="105"/>
      <c r="GX113" s="105"/>
      <c r="GY113" s="105"/>
      <c r="GZ113" s="105"/>
      <c r="HA113" s="105"/>
      <c r="HB113" s="105"/>
      <c r="HC113" s="105"/>
      <c r="HD113" s="105"/>
      <c r="HE113" s="105"/>
      <c r="HF113" s="105"/>
      <c r="HG113" s="105"/>
      <c r="HH113" s="105"/>
      <c r="HI113" s="105"/>
      <c r="HJ113" s="105"/>
      <c r="HK113" s="105"/>
      <c r="HL113" s="105"/>
      <c r="HM113" s="105"/>
      <c r="HN113" s="105"/>
      <c r="HO113" s="105"/>
      <c r="HP113" s="105"/>
      <c r="HQ113" s="105"/>
      <c r="HR113" s="105"/>
      <c r="HS113" s="105"/>
      <c r="HT113" s="105"/>
      <c r="HU113" s="105"/>
      <c r="HV113" s="105"/>
      <c r="HW113" s="105"/>
      <c r="HX113" s="105"/>
      <c r="HY113" s="105"/>
      <c r="HZ113" s="105"/>
      <c r="IA113" s="105"/>
      <c r="IB113" s="105"/>
      <c r="IC113" s="105"/>
      <c r="ID113" s="105"/>
      <c r="IE113" s="105"/>
      <c r="IF113" s="105"/>
      <c r="IG113" s="105"/>
      <c r="IH113" s="105"/>
      <c r="II113" s="105"/>
      <c r="IJ113" s="105"/>
      <c r="IK113" s="105"/>
      <c r="IL113" s="105"/>
      <c r="IM113" s="105"/>
      <c r="IN113" s="105"/>
      <c r="IO113" s="105"/>
      <c r="IP113" s="105"/>
      <c r="IQ113" s="105"/>
      <c r="IR113" s="105"/>
      <c r="IS113" s="105"/>
      <c r="IT113" s="105"/>
      <c r="IU113" s="105"/>
      <c r="IV113" s="105"/>
    </row>
    <row r="114" s="106" customFormat="1" ht="20.1" customHeight="1" spans="1:256">
      <c r="A114" s="105"/>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c r="DJ114" s="10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05"/>
      <c r="FN114" s="105"/>
      <c r="FO114" s="105"/>
      <c r="FP114" s="105"/>
      <c r="FQ114" s="105"/>
      <c r="FR114" s="105"/>
      <c r="FS114" s="105"/>
      <c r="FT114" s="105"/>
      <c r="FU114" s="105"/>
      <c r="FV114" s="105"/>
      <c r="FW114" s="105"/>
      <c r="FX114" s="105"/>
      <c r="FY114" s="105"/>
      <c r="FZ114" s="105"/>
      <c r="GA114" s="105"/>
      <c r="GB114" s="105"/>
      <c r="GC114" s="105"/>
      <c r="GD114" s="105"/>
      <c r="GE114" s="105"/>
      <c r="GF114" s="105"/>
      <c r="GG114" s="105"/>
      <c r="GH114" s="105"/>
      <c r="GI114" s="105"/>
      <c r="GJ114" s="105"/>
      <c r="GK114" s="105"/>
      <c r="GL114" s="105"/>
      <c r="GM114" s="105"/>
      <c r="GN114" s="105"/>
      <c r="GO114" s="105"/>
      <c r="GP114" s="105"/>
      <c r="GQ114" s="105"/>
      <c r="GR114" s="105"/>
      <c r="GS114" s="105"/>
      <c r="GT114" s="105"/>
      <c r="GU114" s="105"/>
      <c r="GV114" s="105"/>
      <c r="GW114" s="105"/>
      <c r="GX114" s="105"/>
      <c r="GY114" s="105"/>
      <c r="GZ114" s="105"/>
      <c r="HA114" s="105"/>
      <c r="HB114" s="105"/>
      <c r="HC114" s="105"/>
      <c r="HD114" s="105"/>
      <c r="HE114" s="105"/>
      <c r="HF114" s="105"/>
      <c r="HG114" s="105"/>
      <c r="HH114" s="105"/>
      <c r="HI114" s="105"/>
      <c r="HJ114" s="105"/>
      <c r="HK114" s="105"/>
      <c r="HL114" s="105"/>
      <c r="HM114" s="105"/>
      <c r="HN114" s="105"/>
      <c r="HO114" s="105"/>
      <c r="HP114" s="105"/>
      <c r="HQ114" s="105"/>
      <c r="HR114" s="105"/>
      <c r="HS114" s="105"/>
      <c r="HT114" s="105"/>
      <c r="HU114" s="105"/>
      <c r="HV114" s="105"/>
      <c r="HW114" s="105"/>
      <c r="HX114" s="105"/>
      <c r="HY114" s="105"/>
      <c r="HZ114" s="105"/>
      <c r="IA114" s="105"/>
      <c r="IB114" s="105"/>
      <c r="IC114" s="105"/>
      <c r="ID114" s="105"/>
      <c r="IE114" s="105"/>
      <c r="IF114" s="105"/>
      <c r="IG114" s="105"/>
      <c r="IH114" s="105"/>
      <c r="II114" s="105"/>
      <c r="IJ114" s="105"/>
      <c r="IK114" s="105"/>
      <c r="IL114" s="105"/>
      <c r="IM114" s="105"/>
      <c r="IN114" s="105"/>
      <c r="IO114" s="105"/>
      <c r="IP114" s="105"/>
      <c r="IQ114" s="105"/>
      <c r="IR114" s="105"/>
      <c r="IS114" s="105"/>
      <c r="IT114" s="105"/>
      <c r="IU114" s="105"/>
      <c r="IV114" s="105"/>
    </row>
    <row r="115" s="106" customFormat="1" ht="20.1" customHeight="1" spans="1:256">
      <c r="A115" s="105"/>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c r="CV115" s="105"/>
      <c r="CW115" s="105"/>
      <c r="CX115" s="105"/>
      <c r="CY115" s="105"/>
      <c r="CZ115" s="105"/>
      <c r="DA115" s="105"/>
      <c r="DB115" s="105"/>
      <c r="DC115" s="105"/>
      <c r="DD115" s="105"/>
      <c r="DE115" s="105"/>
      <c r="DF115" s="105"/>
      <c r="DG115" s="105"/>
      <c r="DH115" s="105"/>
      <c r="DI115" s="105"/>
      <c r="DJ115" s="105"/>
      <c r="DK115" s="105"/>
      <c r="DL115" s="105"/>
      <c r="DM115" s="105"/>
      <c r="DN115" s="105"/>
      <c r="DO115" s="105"/>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05"/>
      <c r="FM115" s="105"/>
      <c r="FN115" s="105"/>
      <c r="FO115" s="105"/>
      <c r="FP115" s="105"/>
      <c r="FQ115" s="105"/>
      <c r="FR115" s="105"/>
      <c r="FS115" s="105"/>
      <c r="FT115" s="105"/>
      <c r="FU115" s="105"/>
      <c r="FV115" s="105"/>
      <c r="FW115" s="105"/>
      <c r="FX115" s="105"/>
      <c r="FY115" s="105"/>
      <c r="FZ115" s="105"/>
      <c r="GA115" s="105"/>
      <c r="GB115" s="105"/>
      <c r="GC115" s="105"/>
      <c r="GD115" s="105"/>
      <c r="GE115" s="105"/>
      <c r="GF115" s="105"/>
      <c r="GG115" s="105"/>
      <c r="GH115" s="105"/>
      <c r="GI115" s="105"/>
      <c r="GJ115" s="105"/>
      <c r="GK115" s="105"/>
      <c r="GL115" s="105"/>
      <c r="GM115" s="105"/>
      <c r="GN115" s="105"/>
      <c r="GO115" s="105"/>
      <c r="GP115" s="105"/>
      <c r="GQ115" s="105"/>
      <c r="GR115" s="105"/>
      <c r="GS115" s="105"/>
      <c r="GT115" s="105"/>
      <c r="GU115" s="105"/>
      <c r="GV115" s="105"/>
      <c r="GW115" s="105"/>
      <c r="GX115" s="105"/>
      <c r="GY115" s="105"/>
      <c r="GZ115" s="105"/>
      <c r="HA115" s="105"/>
      <c r="HB115" s="105"/>
      <c r="HC115" s="105"/>
      <c r="HD115" s="105"/>
      <c r="HE115" s="105"/>
      <c r="HF115" s="105"/>
      <c r="HG115" s="105"/>
      <c r="HH115" s="105"/>
      <c r="HI115" s="105"/>
      <c r="HJ115" s="105"/>
      <c r="HK115" s="105"/>
      <c r="HL115" s="105"/>
      <c r="HM115" s="105"/>
      <c r="HN115" s="105"/>
      <c r="HO115" s="105"/>
      <c r="HP115" s="105"/>
      <c r="HQ115" s="105"/>
      <c r="HR115" s="105"/>
      <c r="HS115" s="105"/>
      <c r="HT115" s="105"/>
      <c r="HU115" s="105"/>
      <c r="HV115" s="105"/>
      <c r="HW115" s="105"/>
      <c r="HX115" s="105"/>
      <c r="HY115" s="105"/>
      <c r="HZ115" s="105"/>
      <c r="IA115" s="105"/>
      <c r="IB115" s="105"/>
      <c r="IC115" s="105"/>
      <c r="ID115" s="105"/>
      <c r="IE115" s="105"/>
      <c r="IF115" s="105"/>
      <c r="IG115" s="105"/>
      <c r="IH115" s="105"/>
      <c r="II115" s="105"/>
      <c r="IJ115" s="105"/>
      <c r="IK115" s="105"/>
      <c r="IL115" s="105"/>
      <c r="IM115" s="105"/>
      <c r="IN115" s="105"/>
      <c r="IO115" s="105"/>
      <c r="IP115" s="105"/>
      <c r="IQ115" s="105"/>
      <c r="IR115" s="105"/>
      <c r="IS115" s="105"/>
      <c r="IT115" s="105"/>
      <c r="IU115" s="105"/>
      <c r="IV115" s="105"/>
    </row>
    <row r="116" s="106" customFormat="1" ht="20.1" customHeight="1" spans="1:256">
      <c r="A116" s="105"/>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105"/>
      <c r="DK116" s="105"/>
      <c r="DL116" s="105"/>
      <c r="DM116" s="105"/>
      <c r="DN116" s="105"/>
      <c r="DO116" s="105"/>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05"/>
      <c r="FM116" s="105"/>
      <c r="FN116" s="105"/>
      <c r="FO116" s="105"/>
      <c r="FP116" s="105"/>
      <c r="FQ116" s="105"/>
      <c r="FR116" s="105"/>
      <c r="FS116" s="105"/>
      <c r="FT116" s="105"/>
      <c r="FU116" s="105"/>
      <c r="FV116" s="105"/>
      <c r="FW116" s="105"/>
      <c r="FX116" s="105"/>
      <c r="FY116" s="105"/>
      <c r="FZ116" s="105"/>
      <c r="GA116" s="105"/>
      <c r="GB116" s="105"/>
      <c r="GC116" s="105"/>
      <c r="GD116" s="105"/>
      <c r="GE116" s="105"/>
      <c r="GF116" s="105"/>
      <c r="GG116" s="105"/>
      <c r="GH116" s="105"/>
      <c r="GI116" s="105"/>
      <c r="GJ116" s="105"/>
      <c r="GK116" s="105"/>
      <c r="GL116" s="105"/>
      <c r="GM116" s="105"/>
      <c r="GN116" s="105"/>
      <c r="GO116" s="105"/>
      <c r="GP116" s="105"/>
      <c r="GQ116" s="105"/>
      <c r="GR116" s="105"/>
      <c r="GS116" s="105"/>
      <c r="GT116" s="105"/>
      <c r="GU116" s="105"/>
      <c r="GV116" s="105"/>
      <c r="GW116" s="105"/>
      <c r="GX116" s="105"/>
      <c r="GY116" s="105"/>
      <c r="GZ116" s="105"/>
      <c r="HA116" s="105"/>
      <c r="HB116" s="105"/>
      <c r="HC116" s="105"/>
      <c r="HD116" s="105"/>
      <c r="HE116" s="105"/>
      <c r="HF116" s="105"/>
      <c r="HG116" s="105"/>
      <c r="HH116" s="105"/>
      <c r="HI116" s="105"/>
      <c r="HJ116" s="105"/>
      <c r="HK116" s="105"/>
      <c r="HL116" s="105"/>
      <c r="HM116" s="105"/>
      <c r="HN116" s="105"/>
      <c r="HO116" s="105"/>
      <c r="HP116" s="105"/>
      <c r="HQ116" s="105"/>
      <c r="HR116" s="105"/>
      <c r="HS116" s="105"/>
      <c r="HT116" s="105"/>
      <c r="HU116" s="105"/>
      <c r="HV116" s="105"/>
      <c r="HW116" s="105"/>
      <c r="HX116" s="105"/>
      <c r="HY116" s="105"/>
      <c r="HZ116" s="105"/>
      <c r="IA116" s="105"/>
      <c r="IB116" s="105"/>
      <c r="IC116" s="105"/>
      <c r="ID116" s="105"/>
      <c r="IE116" s="105"/>
      <c r="IF116" s="105"/>
      <c r="IG116" s="105"/>
      <c r="IH116" s="105"/>
      <c r="II116" s="105"/>
      <c r="IJ116" s="105"/>
      <c r="IK116" s="105"/>
      <c r="IL116" s="105"/>
      <c r="IM116" s="105"/>
      <c r="IN116" s="105"/>
      <c r="IO116" s="105"/>
      <c r="IP116" s="105"/>
      <c r="IQ116" s="105"/>
      <c r="IR116" s="105"/>
      <c r="IS116" s="105"/>
      <c r="IT116" s="105"/>
      <c r="IU116" s="105"/>
      <c r="IV116" s="105"/>
    </row>
    <row r="117" s="106" customFormat="1" ht="20.1" customHeight="1" spans="1:256">
      <c r="A117" s="105"/>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05"/>
      <c r="FN117" s="105"/>
      <c r="FO117" s="105"/>
      <c r="FP117" s="105"/>
      <c r="FQ117" s="105"/>
      <c r="FR117" s="105"/>
      <c r="FS117" s="105"/>
      <c r="FT117" s="105"/>
      <c r="FU117" s="105"/>
      <c r="FV117" s="105"/>
      <c r="FW117" s="105"/>
      <c r="FX117" s="105"/>
      <c r="FY117" s="105"/>
      <c r="FZ117" s="105"/>
      <c r="GA117" s="105"/>
      <c r="GB117" s="105"/>
      <c r="GC117" s="105"/>
      <c r="GD117" s="105"/>
      <c r="GE117" s="105"/>
      <c r="GF117" s="105"/>
      <c r="GG117" s="105"/>
      <c r="GH117" s="105"/>
      <c r="GI117" s="105"/>
      <c r="GJ117" s="105"/>
      <c r="GK117" s="105"/>
      <c r="GL117" s="105"/>
      <c r="GM117" s="105"/>
      <c r="GN117" s="105"/>
      <c r="GO117" s="105"/>
      <c r="GP117" s="105"/>
      <c r="GQ117" s="105"/>
      <c r="GR117" s="105"/>
      <c r="GS117" s="105"/>
      <c r="GT117" s="105"/>
      <c r="GU117" s="105"/>
      <c r="GV117" s="105"/>
      <c r="GW117" s="105"/>
      <c r="GX117" s="105"/>
      <c r="GY117" s="105"/>
      <c r="GZ117" s="105"/>
      <c r="HA117" s="105"/>
      <c r="HB117" s="105"/>
      <c r="HC117" s="105"/>
      <c r="HD117" s="105"/>
      <c r="HE117" s="105"/>
      <c r="HF117" s="105"/>
      <c r="HG117" s="105"/>
      <c r="HH117" s="105"/>
      <c r="HI117" s="105"/>
      <c r="HJ117" s="105"/>
      <c r="HK117" s="105"/>
      <c r="HL117" s="105"/>
      <c r="HM117" s="105"/>
      <c r="HN117" s="105"/>
      <c r="HO117" s="105"/>
      <c r="HP117" s="105"/>
      <c r="HQ117" s="105"/>
      <c r="HR117" s="105"/>
      <c r="HS117" s="105"/>
      <c r="HT117" s="105"/>
      <c r="HU117" s="105"/>
      <c r="HV117" s="105"/>
      <c r="HW117" s="105"/>
      <c r="HX117" s="105"/>
      <c r="HY117" s="105"/>
      <c r="HZ117" s="105"/>
      <c r="IA117" s="105"/>
      <c r="IB117" s="105"/>
      <c r="IC117" s="105"/>
      <c r="ID117" s="105"/>
      <c r="IE117" s="105"/>
      <c r="IF117" s="105"/>
      <c r="IG117" s="105"/>
      <c r="IH117" s="105"/>
      <c r="II117" s="105"/>
      <c r="IJ117" s="105"/>
      <c r="IK117" s="105"/>
      <c r="IL117" s="105"/>
      <c r="IM117" s="105"/>
      <c r="IN117" s="105"/>
      <c r="IO117" s="105"/>
      <c r="IP117" s="105"/>
      <c r="IQ117" s="105"/>
      <c r="IR117" s="105"/>
      <c r="IS117" s="105"/>
      <c r="IT117" s="105"/>
      <c r="IU117" s="105"/>
      <c r="IV117" s="105"/>
    </row>
    <row r="118" s="106" customFormat="1" ht="20.1" customHeight="1" spans="1:256">
      <c r="A118" s="105"/>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5"/>
      <c r="DJ118" s="105"/>
      <c r="DK118" s="105"/>
      <c r="DL118" s="105"/>
      <c r="DM118" s="105"/>
      <c r="DN118" s="105"/>
      <c r="DO118" s="105"/>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05"/>
      <c r="FM118" s="105"/>
      <c r="FN118" s="105"/>
      <c r="FO118" s="105"/>
      <c r="FP118" s="105"/>
      <c r="FQ118" s="105"/>
      <c r="FR118" s="105"/>
      <c r="FS118" s="105"/>
      <c r="FT118" s="105"/>
      <c r="FU118" s="105"/>
      <c r="FV118" s="105"/>
      <c r="FW118" s="105"/>
      <c r="FX118" s="105"/>
      <c r="FY118" s="105"/>
      <c r="FZ118" s="105"/>
      <c r="GA118" s="105"/>
      <c r="GB118" s="105"/>
      <c r="GC118" s="105"/>
      <c r="GD118" s="105"/>
      <c r="GE118" s="105"/>
      <c r="GF118" s="105"/>
      <c r="GG118" s="105"/>
      <c r="GH118" s="105"/>
      <c r="GI118" s="105"/>
      <c r="GJ118" s="105"/>
      <c r="GK118" s="105"/>
      <c r="GL118" s="105"/>
      <c r="GM118" s="105"/>
      <c r="GN118" s="105"/>
      <c r="GO118" s="105"/>
      <c r="GP118" s="105"/>
      <c r="GQ118" s="105"/>
      <c r="GR118" s="105"/>
      <c r="GS118" s="105"/>
      <c r="GT118" s="105"/>
      <c r="GU118" s="105"/>
      <c r="GV118" s="105"/>
      <c r="GW118" s="105"/>
      <c r="GX118" s="105"/>
      <c r="GY118" s="105"/>
      <c r="GZ118" s="105"/>
      <c r="HA118" s="105"/>
      <c r="HB118" s="105"/>
      <c r="HC118" s="105"/>
      <c r="HD118" s="105"/>
      <c r="HE118" s="105"/>
      <c r="HF118" s="105"/>
      <c r="HG118" s="105"/>
      <c r="HH118" s="105"/>
      <c r="HI118" s="105"/>
      <c r="HJ118" s="105"/>
      <c r="HK118" s="105"/>
      <c r="HL118" s="105"/>
      <c r="HM118" s="105"/>
      <c r="HN118" s="105"/>
      <c r="HO118" s="105"/>
      <c r="HP118" s="105"/>
      <c r="HQ118" s="105"/>
      <c r="HR118" s="105"/>
      <c r="HS118" s="105"/>
      <c r="HT118" s="105"/>
      <c r="HU118" s="105"/>
      <c r="HV118" s="105"/>
      <c r="HW118" s="105"/>
      <c r="HX118" s="105"/>
      <c r="HY118" s="105"/>
      <c r="HZ118" s="105"/>
      <c r="IA118" s="105"/>
      <c r="IB118" s="105"/>
      <c r="IC118" s="105"/>
      <c r="ID118" s="105"/>
      <c r="IE118" s="105"/>
      <c r="IF118" s="105"/>
      <c r="IG118" s="105"/>
      <c r="IH118" s="105"/>
      <c r="II118" s="105"/>
      <c r="IJ118" s="105"/>
      <c r="IK118" s="105"/>
      <c r="IL118" s="105"/>
      <c r="IM118" s="105"/>
      <c r="IN118" s="105"/>
      <c r="IO118" s="105"/>
      <c r="IP118" s="105"/>
      <c r="IQ118" s="105"/>
      <c r="IR118" s="105"/>
      <c r="IS118" s="105"/>
      <c r="IT118" s="105"/>
      <c r="IU118" s="105"/>
      <c r="IV118" s="105"/>
    </row>
    <row r="119" s="106" customFormat="1" ht="20.1" customHeight="1" spans="1:256">
      <c r="A119" s="105"/>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105"/>
      <c r="DK119" s="105"/>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05"/>
      <c r="FN119" s="105"/>
      <c r="FO119" s="105"/>
      <c r="FP119" s="105"/>
      <c r="FQ119" s="105"/>
      <c r="FR119" s="105"/>
      <c r="FS119" s="105"/>
      <c r="FT119" s="105"/>
      <c r="FU119" s="105"/>
      <c r="FV119" s="105"/>
      <c r="FW119" s="105"/>
      <c r="FX119" s="105"/>
      <c r="FY119" s="105"/>
      <c r="FZ119" s="105"/>
      <c r="GA119" s="105"/>
      <c r="GB119" s="105"/>
      <c r="GC119" s="105"/>
      <c r="GD119" s="105"/>
      <c r="GE119" s="105"/>
      <c r="GF119" s="105"/>
      <c r="GG119" s="105"/>
      <c r="GH119" s="105"/>
      <c r="GI119" s="105"/>
      <c r="GJ119" s="105"/>
      <c r="GK119" s="105"/>
      <c r="GL119" s="105"/>
      <c r="GM119" s="105"/>
      <c r="GN119" s="105"/>
      <c r="GO119" s="105"/>
      <c r="GP119" s="105"/>
      <c r="GQ119" s="105"/>
      <c r="GR119" s="105"/>
      <c r="GS119" s="105"/>
      <c r="GT119" s="105"/>
      <c r="GU119" s="105"/>
      <c r="GV119" s="105"/>
      <c r="GW119" s="105"/>
      <c r="GX119" s="105"/>
      <c r="GY119" s="105"/>
      <c r="GZ119" s="105"/>
      <c r="HA119" s="105"/>
      <c r="HB119" s="105"/>
      <c r="HC119" s="105"/>
      <c r="HD119" s="105"/>
      <c r="HE119" s="105"/>
      <c r="HF119" s="105"/>
      <c r="HG119" s="105"/>
      <c r="HH119" s="105"/>
      <c r="HI119" s="105"/>
      <c r="HJ119" s="105"/>
      <c r="HK119" s="105"/>
      <c r="HL119" s="105"/>
      <c r="HM119" s="105"/>
      <c r="HN119" s="105"/>
      <c r="HO119" s="105"/>
      <c r="HP119" s="105"/>
      <c r="HQ119" s="105"/>
      <c r="HR119" s="105"/>
      <c r="HS119" s="105"/>
      <c r="HT119" s="105"/>
      <c r="HU119" s="105"/>
      <c r="HV119" s="105"/>
      <c r="HW119" s="105"/>
      <c r="HX119" s="105"/>
      <c r="HY119" s="105"/>
      <c r="HZ119" s="105"/>
      <c r="IA119" s="105"/>
      <c r="IB119" s="105"/>
      <c r="IC119" s="105"/>
      <c r="ID119" s="105"/>
      <c r="IE119" s="105"/>
      <c r="IF119" s="105"/>
      <c r="IG119" s="105"/>
      <c r="IH119" s="105"/>
      <c r="II119" s="105"/>
      <c r="IJ119" s="105"/>
      <c r="IK119" s="105"/>
      <c r="IL119" s="105"/>
      <c r="IM119" s="105"/>
      <c r="IN119" s="105"/>
      <c r="IO119" s="105"/>
      <c r="IP119" s="105"/>
      <c r="IQ119" s="105"/>
      <c r="IR119" s="105"/>
      <c r="IS119" s="105"/>
      <c r="IT119" s="105"/>
      <c r="IU119" s="105"/>
      <c r="IV119" s="105"/>
    </row>
    <row r="120" s="106" customFormat="1" ht="20.1" customHeight="1" spans="1:256">
      <c r="A120" s="105"/>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105"/>
      <c r="DK120" s="105"/>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05"/>
      <c r="FM120" s="105"/>
      <c r="FN120" s="105"/>
      <c r="FO120" s="105"/>
      <c r="FP120" s="105"/>
      <c r="FQ120" s="105"/>
      <c r="FR120" s="105"/>
      <c r="FS120" s="105"/>
      <c r="FT120" s="105"/>
      <c r="FU120" s="105"/>
      <c r="FV120" s="105"/>
      <c r="FW120" s="105"/>
      <c r="FX120" s="105"/>
      <c r="FY120" s="105"/>
      <c r="FZ120" s="105"/>
      <c r="GA120" s="105"/>
      <c r="GB120" s="105"/>
      <c r="GC120" s="105"/>
      <c r="GD120" s="105"/>
      <c r="GE120" s="105"/>
      <c r="GF120" s="105"/>
      <c r="GG120" s="105"/>
      <c r="GH120" s="105"/>
      <c r="GI120" s="105"/>
      <c r="GJ120" s="105"/>
      <c r="GK120" s="105"/>
      <c r="GL120" s="105"/>
      <c r="GM120" s="105"/>
      <c r="GN120" s="105"/>
      <c r="GO120" s="105"/>
      <c r="GP120" s="105"/>
      <c r="GQ120" s="105"/>
      <c r="GR120" s="105"/>
      <c r="GS120" s="105"/>
      <c r="GT120" s="105"/>
      <c r="GU120" s="105"/>
      <c r="GV120" s="105"/>
      <c r="GW120" s="105"/>
      <c r="GX120" s="105"/>
      <c r="GY120" s="105"/>
      <c r="GZ120" s="105"/>
      <c r="HA120" s="105"/>
      <c r="HB120" s="105"/>
      <c r="HC120" s="105"/>
      <c r="HD120" s="105"/>
      <c r="HE120" s="105"/>
      <c r="HF120" s="105"/>
      <c r="HG120" s="105"/>
      <c r="HH120" s="105"/>
      <c r="HI120" s="105"/>
      <c r="HJ120" s="105"/>
      <c r="HK120" s="105"/>
      <c r="HL120" s="105"/>
      <c r="HM120" s="105"/>
      <c r="HN120" s="105"/>
      <c r="HO120" s="105"/>
      <c r="HP120" s="105"/>
      <c r="HQ120" s="105"/>
      <c r="HR120" s="105"/>
      <c r="HS120" s="105"/>
      <c r="HT120" s="105"/>
      <c r="HU120" s="105"/>
      <c r="HV120" s="105"/>
      <c r="HW120" s="105"/>
      <c r="HX120" s="105"/>
      <c r="HY120" s="105"/>
      <c r="HZ120" s="105"/>
      <c r="IA120" s="105"/>
      <c r="IB120" s="105"/>
      <c r="IC120" s="105"/>
      <c r="ID120" s="105"/>
      <c r="IE120" s="105"/>
      <c r="IF120" s="105"/>
      <c r="IG120" s="105"/>
      <c r="IH120" s="105"/>
      <c r="II120" s="105"/>
      <c r="IJ120" s="105"/>
      <c r="IK120" s="105"/>
      <c r="IL120" s="105"/>
      <c r="IM120" s="105"/>
      <c r="IN120" s="105"/>
      <c r="IO120" s="105"/>
      <c r="IP120" s="105"/>
      <c r="IQ120" s="105"/>
      <c r="IR120" s="105"/>
      <c r="IS120" s="105"/>
      <c r="IT120" s="105"/>
      <c r="IU120" s="105"/>
      <c r="IV120" s="105"/>
    </row>
    <row r="121" s="106" customFormat="1" ht="20.1" customHeight="1" spans="1:256">
      <c r="A121" s="105"/>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5"/>
      <c r="DJ121" s="105"/>
      <c r="DK121" s="105"/>
      <c r="DL121" s="105"/>
      <c r="DM121" s="105"/>
      <c r="DN121" s="105"/>
      <c r="DO121" s="105"/>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05"/>
      <c r="FM121" s="105"/>
      <c r="FN121" s="105"/>
      <c r="FO121" s="105"/>
      <c r="FP121" s="105"/>
      <c r="FQ121" s="105"/>
      <c r="FR121" s="105"/>
      <c r="FS121" s="105"/>
      <c r="FT121" s="105"/>
      <c r="FU121" s="105"/>
      <c r="FV121" s="105"/>
      <c r="FW121" s="105"/>
      <c r="FX121" s="105"/>
      <c r="FY121" s="105"/>
      <c r="FZ121" s="105"/>
      <c r="GA121" s="105"/>
      <c r="GB121" s="105"/>
      <c r="GC121" s="105"/>
      <c r="GD121" s="105"/>
      <c r="GE121" s="105"/>
      <c r="GF121" s="105"/>
      <c r="GG121" s="105"/>
      <c r="GH121" s="105"/>
      <c r="GI121" s="105"/>
      <c r="GJ121" s="105"/>
      <c r="GK121" s="105"/>
      <c r="GL121" s="105"/>
      <c r="GM121" s="105"/>
      <c r="GN121" s="105"/>
      <c r="GO121" s="105"/>
      <c r="GP121" s="105"/>
      <c r="GQ121" s="105"/>
      <c r="GR121" s="105"/>
      <c r="GS121" s="105"/>
      <c r="GT121" s="105"/>
      <c r="GU121" s="105"/>
      <c r="GV121" s="105"/>
      <c r="GW121" s="105"/>
      <c r="GX121" s="105"/>
      <c r="GY121" s="105"/>
      <c r="GZ121" s="105"/>
      <c r="HA121" s="105"/>
      <c r="HB121" s="105"/>
      <c r="HC121" s="105"/>
      <c r="HD121" s="105"/>
      <c r="HE121" s="105"/>
      <c r="HF121" s="105"/>
      <c r="HG121" s="105"/>
      <c r="HH121" s="105"/>
      <c r="HI121" s="105"/>
      <c r="HJ121" s="105"/>
      <c r="HK121" s="105"/>
      <c r="HL121" s="105"/>
      <c r="HM121" s="105"/>
      <c r="HN121" s="105"/>
      <c r="HO121" s="105"/>
      <c r="HP121" s="105"/>
      <c r="HQ121" s="105"/>
      <c r="HR121" s="105"/>
      <c r="HS121" s="105"/>
      <c r="HT121" s="105"/>
      <c r="HU121" s="105"/>
      <c r="HV121" s="105"/>
      <c r="HW121" s="105"/>
      <c r="HX121" s="105"/>
      <c r="HY121" s="105"/>
      <c r="HZ121" s="105"/>
      <c r="IA121" s="105"/>
      <c r="IB121" s="105"/>
      <c r="IC121" s="105"/>
      <c r="ID121" s="105"/>
      <c r="IE121" s="105"/>
      <c r="IF121" s="105"/>
      <c r="IG121" s="105"/>
      <c r="IH121" s="105"/>
      <c r="II121" s="105"/>
      <c r="IJ121" s="105"/>
      <c r="IK121" s="105"/>
      <c r="IL121" s="105"/>
      <c r="IM121" s="105"/>
      <c r="IN121" s="105"/>
      <c r="IO121" s="105"/>
      <c r="IP121" s="105"/>
      <c r="IQ121" s="105"/>
      <c r="IR121" s="105"/>
      <c r="IS121" s="105"/>
      <c r="IT121" s="105"/>
      <c r="IU121" s="105"/>
      <c r="IV121" s="105"/>
    </row>
    <row r="122" s="106" customFormat="1" ht="20.1" customHeight="1" spans="1:256">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c r="HN122" s="105"/>
      <c r="HO122" s="105"/>
      <c r="HP122" s="105"/>
      <c r="HQ122" s="105"/>
      <c r="HR122" s="105"/>
      <c r="HS122" s="105"/>
      <c r="HT122" s="105"/>
      <c r="HU122" s="105"/>
      <c r="HV122" s="105"/>
      <c r="HW122" s="105"/>
      <c r="HX122" s="105"/>
      <c r="HY122" s="105"/>
      <c r="HZ122" s="105"/>
      <c r="IA122" s="105"/>
      <c r="IB122" s="105"/>
      <c r="IC122" s="105"/>
      <c r="ID122" s="105"/>
      <c r="IE122" s="105"/>
      <c r="IF122" s="105"/>
      <c r="IG122" s="105"/>
      <c r="IH122" s="105"/>
      <c r="II122" s="105"/>
      <c r="IJ122" s="105"/>
      <c r="IK122" s="105"/>
      <c r="IL122" s="105"/>
      <c r="IM122" s="105"/>
      <c r="IN122" s="105"/>
      <c r="IO122" s="105"/>
      <c r="IP122" s="105"/>
      <c r="IQ122" s="105"/>
      <c r="IR122" s="105"/>
      <c r="IS122" s="105"/>
      <c r="IT122" s="105"/>
      <c r="IU122" s="105"/>
      <c r="IV122" s="105"/>
    </row>
    <row r="123" s="106" customFormat="1" ht="20.1" customHeight="1" spans="1:256">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c r="HZ123" s="105"/>
      <c r="IA123" s="105"/>
      <c r="IB123" s="105"/>
      <c r="IC123" s="105"/>
      <c r="ID123" s="105"/>
      <c r="IE123" s="105"/>
      <c r="IF123" s="105"/>
      <c r="IG123" s="105"/>
      <c r="IH123" s="105"/>
      <c r="II123" s="105"/>
      <c r="IJ123" s="105"/>
      <c r="IK123" s="105"/>
      <c r="IL123" s="105"/>
      <c r="IM123" s="105"/>
      <c r="IN123" s="105"/>
      <c r="IO123" s="105"/>
      <c r="IP123" s="105"/>
      <c r="IQ123" s="105"/>
      <c r="IR123" s="105"/>
      <c r="IS123" s="105"/>
      <c r="IT123" s="105"/>
      <c r="IU123" s="105"/>
      <c r="IV123" s="105"/>
    </row>
    <row r="124" s="106" customFormat="1" ht="20.1" customHeight="1" spans="1:256">
      <c r="A124" s="105"/>
      <c r="B124" s="105"/>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c r="DJ124" s="105"/>
      <c r="DK124" s="105"/>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05"/>
      <c r="FN124" s="105"/>
      <c r="FO124" s="105"/>
      <c r="FP124" s="105"/>
      <c r="FQ124" s="105"/>
      <c r="FR124" s="105"/>
      <c r="FS124" s="105"/>
      <c r="FT124" s="105"/>
      <c r="FU124" s="105"/>
      <c r="FV124" s="105"/>
      <c r="FW124" s="105"/>
      <c r="FX124" s="105"/>
      <c r="FY124" s="105"/>
      <c r="FZ124" s="105"/>
      <c r="GA124" s="105"/>
      <c r="GB124" s="105"/>
      <c r="GC124" s="105"/>
      <c r="GD124" s="105"/>
      <c r="GE124" s="105"/>
      <c r="GF124" s="105"/>
      <c r="GG124" s="105"/>
      <c r="GH124" s="105"/>
      <c r="GI124" s="105"/>
      <c r="GJ124" s="105"/>
      <c r="GK124" s="105"/>
      <c r="GL124" s="105"/>
      <c r="GM124" s="105"/>
      <c r="GN124" s="105"/>
      <c r="GO124" s="105"/>
      <c r="GP124" s="105"/>
      <c r="GQ124" s="105"/>
      <c r="GR124" s="105"/>
      <c r="GS124" s="105"/>
      <c r="GT124" s="105"/>
      <c r="GU124" s="105"/>
      <c r="GV124" s="105"/>
      <c r="GW124" s="105"/>
      <c r="GX124" s="105"/>
      <c r="GY124" s="105"/>
      <c r="GZ124" s="105"/>
      <c r="HA124" s="105"/>
      <c r="HB124" s="105"/>
      <c r="HC124" s="105"/>
      <c r="HD124" s="105"/>
      <c r="HE124" s="105"/>
      <c r="HF124" s="105"/>
      <c r="HG124" s="105"/>
      <c r="HH124" s="105"/>
      <c r="HI124" s="105"/>
      <c r="HJ124" s="105"/>
      <c r="HK124" s="105"/>
      <c r="HL124" s="105"/>
      <c r="HM124" s="105"/>
      <c r="HN124" s="105"/>
      <c r="HO124" s="105"/>
      <c r="HP124" s="105"/>
      <c r="HQ124" s="105"/>
      <c r="HR124" s="105"/>
      <c r="HS124" s="105"/>
      <c r="HT124" s="105"/>
      <c r="HU124" s="105"/>
      <c r="HV124" s="105"/>
      <c r="HW124" s="105"/>
      <c r="HX124" s="105"/>
      <c r="HY124" s="105"/>
      <c r="HZ124" s="105"/>
      <c r="IA124" s="105"/>
      <c r="IB124" s="105"/>
      <c r="IC124" s="105"/>
      <c r="ID124" s="105"/>
      <c r="IE124" s="105"/>
      <c r="IF124" s="105"/>
      <c r="IG124" s="105"/>
      <c r="IH124" s="105"/>
      <c r="II124" s="105"/>
      <c r="IJ124" s="105"/>
      <c r="IK124" s="105"/>
      <c r="IL124" s="105"/>
      <c r="IM124" s="105"/>
      <c r="IN124" s="105"/>
      <c r="IO124" s="105"/>
      <c r="IP124" s="105"/>
      <c r="IQ124" s="105"/>
      <c r="IR124" s="105"/>
      <c r="IS124" s="105"/>
      <c r="IT124" s="105"/>
      <c r="IU124" s="105"/>
      <c r="IV124" s="105"/>
    </row>
    <row r="125" s="106" customFormat="1" ht="20.1" customHeight="1" spans="1:256">
      <c r="A125" s="105"/>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c r="DJ125" s="105"/>
      <c r="DK125" s="105"/>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05"/>
      <c r="FN125" s="105"/>
      <c r="FO125" s="105"/>
      <c r="FP125" s="105"/>
      <c r="FQ125" s="105"/>
      <c r="FR125" s="105"/>
      <c r="FS125" s="105"/>
      <c r="FT125" s="105"/>
      <c r="FU125" s="105"/>
      <c r="FV125" s="105"/>
      <c r="FW125" s="105"/>
      <c r="FX125" s="105"/>
      <c r="FY125" s="105"/>
      <c r="FZ125" s="105"/>
      <c r="GA125" s="105"/>
      <c r="GB125" s="105"/>
      <c r="GC125" s="105"/>
      <c r="GD125" s="105"/>
      <c r="GE125" s="105"/>
      <c r="GF125" s="105"/>
      <c r="GG125" s="105"/>
      <c r="GH125" s="105"/>
      <c r="GI125" s="105"/>
      <c r="GJ125" s="105"/>
      <c r="GK125" s="105"/>
      <c r="GL125" s="105"/>
      <c r="GM125" s="105"/>
      <c r="GN125" s="105"/>
      <c r="GO125" s="105"/>
      <c r="GP125" s="105"/>
      <c r="GQ125" s="105"/>
      <c r="GR125" s="105"/>
      <c r="GS125" s="105"/>
      <c r="GT125" s="105"/>
      <c r="GU125" s="105"/>
      <c r="GV125" s="105"/>
      <c r="GW125" s="105"/>
      <c r="GX125" s="105"/>
      <c r="GY125" s="105"/>
      <c r="GZ125" s="105"/>
      <c r="HA125" s="105"/>
      <c r="HB125" s="105"/>
      <c r="HC125" s="105"/>
      <c r="HD125" s="105"/>
      <c r="HE125" s="105"/>
      <c r="HF125" s="105"/>
      <c r="HG125" s="105"/>
      <c r="HH125" s="105"/>
      <c r="HI125" s="105"/>
      <c r="HJ125" s="105"/>
      <c r="HK125" s="105"/>
      <c r="HL125" s="105"/>
      <c r="HM125" s="105"/>
      <c r="HN125" s="105"/>
      <c r="HO125" s="105"/>
      <c r="HP125" s="105"/>
      <c r="HQ125" s="105"/>
      <c r="HR125" s="105"/>
      <c r="HS125" s="105"/>
      <c r="HT125" s="105"/>
      <c r="HU125" s="105"/>
      <c r="HV125" s="105"/>
      <c r="HW125" s="105"/>
      <c r="HX125" s="105"/>
      <c r="HY125" s="105"/>
      <c r="HZ125" s="105"/>
      <c r="IA125" s="105"/>
      <c r="IB125" s="105"/>
      <c r="IC125" s="105"/>
      <c r="ID125" s="105"/>
      <c r="IE125" s="105"/>
      <c r="IF125" s="105"/>
      <c r="IG125" s="105"/>
      <c r="IH125" s="105"/>
      <c r="II125" s="105"/>
      <c r="IJ125" s="105"/>
      <c r="IK125" s="105"/>
      <c r="IL125" s="105"/>
      <c r="IM125" s="105"/>
      <c r="IN125" s="105"/>
      <c r="IO125" s="105"/>
      <c r="IP125" s="105"/>
      <c r="IQ125" s="105"/>
      <c r="IR125" s="105"/>
      <c r="IS125" s="105"/>
      <c r="IT125" s="105"/>
      <c r="IU125" s="105"/>
      <c r="IV125" s="105"/>
    </row>
    <row r="126" s="106" customFormat="1" ht="20.1" customHeight="1" spans="1:256">
      <c r="A126" s="105"/>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5"/>
      <c r="DA126" s="105"/>
      <c r="DB126" s="105"/>
      <c r="DC126" s="105"/>
      <c r="DD126" s="105"/>
      <c r="DE126" s="105"/>
      <c r="DF126" s="105"/>
      <c r="DG126" s="105"/>
      <c r="DH126" s="105"/>
      <c r="DI126" s="105"/>
      <c r="DJ126" s="105"/>
      <c r="DK126" s="105"/>
      <c r="DL126" s="105"/>
      <c r="DM126" s="105"/>
      <c r="DN126" s="105"/>
      <c r="DO126" s="105"/>
      <c r="DP126" s="105"/>
      <c r="DQ126" s="105"/>
      <c r="DR126" s="105"/>
      <c r="DS126" s="105"/>
      <c r="DT126" s="105"/>
      <c r="DU126" s="105"/>
      <c r="DV126" s="105"/>
      <c r="DW126" s="105"/>
      <c r="DX126" s="105"/>
      <c r="DY126" s="105"/>
      <c r="DZ126" s="105"/>
      <c r="EA126" s="105"/>
      <c r="EB126" s="105"/>
      <c r="EC126" s="105"/>
      <c r="ED126" s="105"/>
      <c r="EE126" s="105"/>
      <c r="EF126" s="105"/>
      <c r="EG126" s="105"/>
      <c r="EH126" s="105"/>
      <c r="EI126" s="105"/>
      <c r="EJ126" s="105"/>
      <c r="EK126" s="105"/>
      <c r="EL126" s="105"/>
      <c r="EM126" s="105"/>
      <c r="EN126" s="105"/>
      <c r="EO126" s="105"/>
      <c r="EP126" s="105"/>
      <c r="EQ126" s="105"/>
      <c r="ER126" s="105"/>
      <c r="ES126" s="105"/>
      <c r="ET126" s="105"/>
      <c r="EU126" s="105"/>
      <c r="EV126" s="105"/>
      <c r="EW126" s="105"/>
      <c r="EX126" s="105"/>
      <c r="EY126" s="105"/>
      <c r="EZ126" s="105"/>
      <c r="FA126" s="105"/>
      <c r="FB126" s="105"/>
      <c r="FC126" s="105"/>
      <c r="FD126" s="105"/>
      <c r="FE126" s="105"/>
      <c r="FF126" s="105"/>
      <c r="FG126" s="105"/>
      <c r="FH126" s="105"/>
      <c r="FI126" s="105"/>
      <c r="FJ126" s="105"/>
      <c r="FK126" s="105"/>
      <c r="FL126" s="105"/>
      <c r="FM126" s="105"/>
      <c r="FN126" s="105"/>
      <c r="FO126" s="105"/>
      <c r="FP126" s="105"/>
      <c r="FQ126" s="105"/>
      <c r="FR126" s="105"/>
      <c r="FS126" s="105"/>
      <c r="FT126" s="105"/>
      <c r="FU126" s="105"/>
      <c r="FV126" s="105"/>
      <c r="FW126" s="105"/>
      <c r="FX126" s="105"/>
      <c r="FY126" s="105"/>
      <c r="FZ126" s="105"/>
      <c r="GA126" s="105"/>
      <c r="GB126" s="105"/>
      <c r="GC126" s="105"/>
      <c r="GD126" s="105"/>
      <c r="GE126" s="105"/>
      <c r="GF126" s="105"/>
      <c r="GG126" s="105"/>
      <c r="GH126" s="105"/>
      <c r="GI126" s="105"/>
      <c r="GJ126" s="105"/>
      <c r="GK126" s="105"/>
      <c r="GL126" s="105"/>
      <c r="GM126" s="105"/>
      <c r="GN126" s="105"/>
      <c r="GO126" s="105"/>
      <c r="GP126" s="105"/>
      <c r="GQ126" s="105"/>
      <c r="GR126" s="105"/>
      <c r="GS126" s="105"/>
      <c r="GT126" s="105"/>
      <c r="GU126" s="105"/>
      <c r="GV126" s="105"/>
      <c r="GW126" s="105"/>
      <c r="GX126" s="105"/>
      <c r="GY126" s="105"/>
      <c r="GZ126" s="105"/>
      <c r="HA126" s="105"/>
      <c r="HB126" s="105"/>
      <c r="HC126" s="105"/>
      <c r="HD126" s="105"/>
      <c r="HE126" s="105"/>
      <c r="HF126" s="105"/>
      <c r="HG126" s="105"/>
      <c r="HH126" s="105"/>
      <c r="HI126" s="105"/>
      <c r="HJ126" s="105"/>
      <c r="HK126" s="105"/>
      <c r="HL126" s="105"/>
      <c r="HM126" s="105"/>
      <c r="HN126" s="105"/>
      <c r="HO126" s="105"/>
      <c r="HP126" s="105"/>
      <c r="HQ126" s="105"/>
      <c r="HR126" s="105"/>
      <c r="HS126" s="105"/>
      <c r="HT126" s="105"/>
      <c r="HU126" s="105"/>
      <c r="HV126" s="105"/>
      <c r="HW126" s="105"/>
      <c r="HX126" s="105"/>
      <c r="HY126" s="105"/>
      <c r="HZ126" s="105"/>
      <c r="IA126" s="105"/>
      <c r="IB126" s="105"/>
      <c r="IC126" s="105"/>
      <c r="ID126" s="105"/>
      <c r="IE126" s="105"/>
      <c r="IF126" s="105"/>
      <c r="IG126" s="105"/>
      <c r="IH126" s="105"/>
      <c r="II126" s="105"/>
      <c r="IJ126" s="105"/>
      <c r="IK126" s="105"/>
      <c r="IL126" s="105"/>
      <c r="IM126" s="105"/>
      <c r="IN126" s="105"/>
      <c r="IO126" s="105"/>
      <c r="IP126" s="105"/>
      <c r="IQ126" s="105"/>
      <c r="IR126" s="105"/>
      <c r="IS126" s="105"/>
      <c r="IT126" s="105"/>
      <c r="IU126" s="105"/>
      <c r="IV126" s="105"/>
    </row>
    <row r="127" s="106" customFormat="1" ht="20.1" customHeight="1" spans="1:256">
      <c r="A127" s="105"/>
      <c r="B127" s="105"/>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5"/>
      <c r="DA127" s="105"/>
      <c r="DB127" s="105"/>
      <c r="DC127" s="105"/>
      <c r="DD127" s="105"/>
      <c r="DE127" s="105"/>
      <c r="DF127" s="105"/>
      <c r="DG127" s="105"/>
      <c r="DH127" s="105"/>
      <c r="DI127" s="105"/>
      <c r="DJ127" s="105"/>
      <c r="DK127" s="105"/>
      <c r="DL127" s="105"/>
      <c r="DM127" s="105"/>
      <c r="DN127" s="105"/>
      <c r="DO127" s="105"/>
      <c r="DP127" s="105"/>
      <c r="DQ127" s="105"/>
      <c r="DR127" s="105"/>
      <c r="DS127" s="105"/>
      <c r="DT127" s="105"/>
      <c r="DU127" s="105"/>
      <c r="DV127" s="105"/>
      <c r="DW127" s="105"/>
      <c r="DX127" s="105"/>
      <c r="DY127" s="105"/>
      <c r="DZ127" s="105"/>
      <c r="EA127" s="105"/>
      <c r="EB127" s="105"/>
      <c r="EC127" s="105"/>
      <c r="ED127" s="105"/>
      <c r="EE127" s="105"/>
      <c r="EF127" s="105"/>
      <c r="EG127" s="105"/>
      <c r="EH127" s="105"/>
      <c r="EI127" s="105"/>
      <c r="EJ127" s="105"/>
      <c r="EK127" s="105"/>
      <c r="EL127" s="105"/>
      <c r="EM127" s="105"/>
      <c r="EN127" s="105"/>
      <c r="EO127" s="105"/>
      <c r="EP127" s="105"/>
      <c r="EQ127" s="105"/>
      <c r="ER127" s="105"/>
      <c r="ES127" s="105"/>
      <c r="ET127" s="105"/>
      <c r="EU127" s="105"/>
      <c r="EV127" s="105"/>
      <c r="EW127" s="105"/>
      <c r="EX127" s="105"/>
      <c r="EY127" s="105"/>
      <c r="EZ127" s="105"/>
      <c r="FA127" s="105"/>
      <c r="FB127" s="105"/>
      <c r="FC127" s="105"/>
      <c r="FD127" s="105"/>
      <c r="FE127" s="105"/>
      <c r="FF127" s="105"/>
      <c r="FG127" s="105"/>
      <c r="FH127" s="105"/>
      <c r="FI127" s="105"/>
      <c r="FJ127" s="105"/>
      <c r="FK127" s="105"/>
      <c r="FL127" s="105"/>
      <c r="FM127" s="105"/>
      <c r="FN127" s="105"/>
      <c r="FO127" s="105"/>
      <c r="FP127" s="105"/>
      <c r="FQ127" s="105"/>
      <c r="FR127" s="105"/>
      <c r="FS127" s="105"/>
      <c r="FT127" s="105"/>
      <c r="FU127" s="105"/>
      <c r="FV127" s="105"/>
      <c r="FW127" s="105"/>
      <c r="FX127" s="105"/>
      <c r="FY127" s="105"/>
      <c r="FZ127" s="105"/>
      <c r="GA127" s="105"/>
      <c r="GB127" s="105"/>
      <c r="GC127" s="105"/>
      <c r="GD127" s="105"/>
      <c r="GE127" s="105"/>
      <c r="GF127" s="105"/>
      <c r="GG127" s="105"/>
      <c r="GH127" s="105"/>
      <c r="GI127" s="105"/>
      <c r="GJ127" s="105"/>
      <c r="GK127" s="105"/>
      <c r="GL127" s="105"/>
      <c r="GM127" s="105"/>
      <c r="GN127" s="105"/>
      <c r="GO127" s="105"/>
      <c r="GP127" s="105"/>
      <c r="GQ127" s="105"/>
      <c r="GR127" s="105"/>
      <c r="GS127" s="105"/>
      <c r="GT127" s="105"/>
      <c r="GU127" s="105"/>
      <c r="GV127" s="105"/>
      <c r="GW127" s="105"/>
      <c r="GX127" s="105"/>
      <c r="GY127" s="105"/>
      <c r="GZ127" s="105"/>
      <c r="HA127" s="105"/>
      <c r="HB127" s="105"/>
      <c r="HC127" s="105"/>
      <c r="HD127" s="105"/>
      <c r="HE127" s="105"/>
      <c r="HF127" s="105"/>
      <c r="HG127" s="105"/>
      <c r="HH127" s="105"/>
      <c r="HI127" s="105"/>
      <c r="HJ127" s="105"/>
      <c r="HK127" s="105"/>
      <c r="HL127" s="105"/>
      <c r="HM127" s="105"/>
      <c r="HN127" s="105"/>
      <c r="HO127" s="105"/>
      <c r="HP127" s="105"/>
      <c r="HQ127" s="105"/>
      <c r="HR127" s="105"/>
      <c r="HS127" s="105"/>
      <c r="HT127" s="105"/>
      <c r="HU127" s="105"/>
      <c r="HV127" s="105"/>
      <c r="HW127" s="105"/>
      <c r="HX127" s="105"/>
      <c r="HY127" s="105"/>
      <c r="HZ127" s="105"/>
      <c r="IA127" s="105"/>
      <c r="IB127" s="105"/>
      <c r="IC127" s="105"/>
      <c r="ID127" s="105"/>
      <c r="IE127" s="105"/>
      <c r="IF127" s="105"/>
      <c r="IG127" s="105"/>
      <c r="IH127" s="105"/>
      <c r="II127" s="105"/>
      <c r="IJ127" s="105"/>
      <c r="IK127" s="105"/>
      <c r="IL127" s="105"/>
      <c r="IM127" s="105"/>
      <c r="IN127" s="105"/>
      <c r="IO127" s="105"/>
      <c r="IP127" s="105"/>
      <c r="IQ127" s="105"/>
      <c r="IR127" s="105"/>
      <c r="IS127" s="105"/>
      <c r="IT127" s="105"/>
      <c r="IU127" s="105"/>
      <c r="IV127" s="105"/>
    </row>
    <row r="128" s="106" customFormat="1" ht="20.1" customHeight="1" spans="1:256">
      <c r="A128" s="10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5"/>
      <c r="DA128" s="105"/>
      <c r="DB128" s="105"/>
      <c r="DC128" s="105"/>
      <c r="DD128" s="105"/>
      <c r="DE128" s="105"/>
      <c r="DF128" s="105"/>
      <c r="DG128" s="105"/>
      <c r="DH128" s="105"/>
      <c r="DI128" s="105"/>
      <c r="DJ128" s="105"/>
      <c r="DK128" s="105"/>
      <c r="DL128" s="105"/>
      <c r="DM128" s="105"/>
      <c r="DN128" s="105"/>
      <c r="DO128" s="105"/>
      <c r="DP128" s="105"/>
      <c r="DQ128" s="105"/>
      <c r="DR128" s="105"/>
      <c r="DS128" s="105"/>
      <c r="DT128" s="105"/>
      <c r="DU128" s="105"/>
      <c r="DV128" s="105"/>
      <c r="DW128" s="105"/>
      <c r="DX128" s="105"/>
      <c r="DY128" s="105"/>
      <c r="DZ128" s="105"/>
      <c r="EA128" s="105"/>
      <c r="EB128" s="105"/>
      <c r="EC128" s="105"/>
      <c r="ED128" s="105"/>
      <c r="EE128" s="105"/>
      <c r="EF128" s="105"/>
      <c r="EG128" s="105"/>
      <c r="EH128" s="105"/>
      <c r="EI128" s="105"/>
      <c r="EJ128" s="105"/>
      <c r="EK128" s="105"/>
      <c r="EL128" s="105"/>
      <c r="EM128" s="105"/>
      <c r="EN128" s="105"/>
      <c r="EO128" s="105"/>
      <c r="EP128" s="105"/>
      <c r="EQ128" s="105"/>
      <c r="ER128" s="105"/>
      <c r="ES128" s="105"/>
      <c r="ET128" s="105"/>
      <c r="EU128" s="105"/>
      <c r="EV128" s="105"/>
      <c r="EW128" s="105"/>
      <c r="EX128" s="105"/>
      <c r="EY128" s="105"/>
      <c r="EZ128" s="105"/>
      <c r="FA128" s="105"/>
      <c r="FB128" s="105"/>
      <c r="FC128" s="105"/>
      <c r="FD128" s="105"/>
      <c r="FE128" s="105"/>
      <c r="FF128" s="105"/>
      <c r="FG128" s="105"/>
      <c r="FH128" s="105"/>
      <c r="FI128" s="105"/>
      <c r="FJ128" s="105"/>
      <c r="FK128" s="105"/>
      <c r="FL128" s="105"/>
      <c r="FM128" s="105"/>
      <c r="FN128" s="105"/>
      <c r="FO128" s="105"/>
      <c r="FP128" s="105"/>
      <c r="FQ128" s="105"/>
      <c r="FR128" s="105"/>
      <c r="FS128" s="105"/>
      <c r="FT128" s="105"/>
      <c r="FU128" s="105"/>
      <c r="FV128" s="105"/>
      <c r="FW128" s="105"/>
      <c r="FX128" s="105"/>
      <c r="FY128" s="105"/>
      <c r="FZ128" s="105"/>
      <c r="GA128" s="105"/>
      <c r="GB128" s="105"/>
      <c r="GC128" s="105"/>
      <c r="GD128" s="105"/>
      <c r="GE128" s="105"/>
      <c r="GF128" s="105"/>
      <c r="GG128" s="105"/>
      <c r="GH128" s="105"/>
      <c r="GI128" s="105"/>
      <c r="GJ128" s="105"/>
      <c r="GK128" s="105"/>
      <c r="GL128" s="105"/>
      <c r="GM128" s="105"/>
      <c r="GN128" s="105"/>
      <c r="GO128" s="105"/>
      <c r="GP128" s="105"/>
      <c r="GQ128" s="105"/>
      <c r="GR128" s="105"/>
      <c r="GS128" s="105"/>
      <c r="GT128" s="105"/>
      <c r="GU128" s="105"/>
      <c r="GV128" s="105"/>
      <c r="GW128" s="105"/>
      <c r="GX128" s="105"/>
      <c r="GY128" s="105"/>
      <c r="GZ128" s="105"/>
      <c r="HA128" s="105"/>
      <c r="HB128" s="105"/>
      <c r="HC128" s="105"/>
      <c r="HD128" s="105"/>
      <c r="HE128" s="105"/>
      <c r="HF128" s="105"/>
      <c r="HG128" s="105"/>
      <c r="HH128" s="105"/>
      <c r="HI128" s="105"/>
      <c r="HJ128" s="105"/>
      <c r="HK128" s="105"/>
      <c r="HL128" s="105"/>
      <c r="HM128" s="105"/>
      <c r="HN128" s="105"/>
      <c r="HO128" s="105"/>
      <c r="HP128" s="105"/>
      <c r="HQ128" s="105"/>
      <c r="HR128" s="105"/>
      <c r="HS128" s="105"/>
      <c r="HT128" s="105"/>
      <c r="HU128" s="105"/>
      <c r="HV128" s="105"/>
      <c r="HW128" s="105"/>
      <c r="HX128" s="105"/>
      <c r="HY128" s="105"/>
      <c r="HZ128" s="105"/>
      <c r="IA128" s="105"/>
      <c r="IB128" s="105"/>
      <c r="IC128" s="105"/>
      <c r="ID128" s="105"/>
      <c r="IE128" s="105"/>
      <c r="IF128" s="105"/>
      <c r="IG128" s="105"/>
      <c r="IH128" s="105"/>
      <c r="II128" s="105"/>
      <c r="IJ128" s="105"/>
      <c r="IK128" s="105"/>
      <c r="IL128" s="105"/>
      <c r="IM128" s="105"/>
      <c r="IN128" s="105"/>
      <c r="IO128" s="105"/>
      <c r="IP128" s="105"/>
      <c r="IQ128" s="105"/>
      <c r="IR128" s="105"/>
      <c r="IS128" s="105"/>
      <c r="IT128" s="105"/>
      <c r="IU128" s="105"/>
      <c r="IV128" s="105"/>
    </row>
    <row r="129" s="106" customFormat="1" ht="20.1" customHeight="1" spans="1:256">
      <c r="A129" s="105"/>
      <c r="B129" s="105"/>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5"/>
      <c r="DJ129" s="105"/>
      <c r="DK129" s="105"/>
      <c r="DL129" s="105"/>
      <c r="DM129" s="105"/>
      <c r="DN129" s="105"/>
      <c r="DO129" s="105"/>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05"/>
      <c r="FN129" s="105"/>
      <c r="FO129" s="105"/>
      <c r="FP129" s="105"/>
      <c r="FQ129" s="105"/>
      <c r="FR129" s="105"/>
      <c r="FS129" s="105"/>
      <c r="FT129" s="105"/>
      <c r="FU129" s="105"/>
      <c r="FV129" s="105"/>
      <c r="FW129" s="105"/>
      <c r="FX129" s="105"/>
      <c r="FY129" s="105"/>
      <c r="FZ129" s="105"/>
      <c r="GA129" s="105"/>
      <c r="GB129" s="105"/>
      <c r="GC129" s="105"/>
      <c r="GD129" s="105"/>
      <c r="GE129" s="105"/>
      <c r="GF129" s="105"/>
      <c r="GG129" s="105"/>
      <c r="GH129" s="105"/>
      <c r="GI129" s="105"/>
      <c r="GJ129" s="105"/>
      <c r="GK129" s="105"/>
      <c r="GL129" s="105"/>
      <c r="GM129" s="105"/>
      <c r="GN129" s="105"/>
      <c r="GO129" s="105"/>
      <c r="GP129" s="105"/>
      <c r="GQ129" s="105"/>
      <c r="GR129" s="105"/>
      <c r="GS129" s="105"/>
      <c r="GT129" s="105"/>
      <c r="GU129" s="105"/>
      <c r="GV129" s="105"/>
      <c r="GW129" s="105"/>
      <c r="GX129" s="105"/>
      <c r="GY129" s="105"/>
      <c r="GZ129" s="105"/>
      <c r="HA129" s="105"/>
      <c r="HB129" s="105"/>
      <c r="HC129" s="105"/>
      <c r="HD129" s="105"/>
      <c r="HE129" s="105"/>
      <c r="HF129" s="105"/>
      <c r="HG129" s="105"/>
      <c r="HH129" s="105"/>
      <c r="HI129" s="105"/>
      <c r="HJ129" s="105"/>
      <c r="HK129" s="105"/>
      <c r="HL129" s="105"/>
      <c r="HM129" s="105"/>
      <c r="HN129" s="105"/>
      <c r="HO129" s="105"/>
      <c r="HP129" s="105"/>
      <c r="HQ129" s="105"/>
      <c r="HR129" s="105"/>
      <c r="HS129" s="105"/>
      <c r="HT129" s="105"/>
      <c r="HU129" s="105"/>
      <c r="HV129" s="105"/>
      <c r="HW129" s="105"/>
      <c r="HX129" s="105"/>
      <c r="HY129" s="105"/>
      <c r="HZ129" s="105"/>
      <c r="IA129" s="105"/>
      <c r="IB129" s="105"/>
      <c r="IC129" s="105"/>
      <c r="ID129" s="105"/>
      <c r="IE129" s="105"/>
      <c r="IF129" s="105"/>
      <c r="IG129" s="105"/>
      <c r="IH129" s="105"/>
      <c r="II129" s="105"/>
      <c r="IJ129" s="105"/>
      <c r="IK129" s="105"/>
      <c r="IL129" s="105"/>
      <c r="IM129" s="105"/>
      <c r="IN129" s="105"/>
      <c r="IO129" s="105"/>
      <c r="IP129" s="105"/>
      <c r="IQ129" s="105"/>
      <c r="IR129" s="105"/>
      <c r="IS129" s="105"/>
      <c r="IT129" s="105"/>
      <c r="IU129" s="105"/>
      <c r="IV129" s="105"/>
    </row>
    <row r="130" s="106" customFormat="1" ht="20.1" customHeight="1" spans="1:256">
      <c r="A130" s="105"/>
      <c r="B130" s="105"/>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5"/>
      <c r="DA130" s="105"/>
      <c r="DB130" s="105"/>
      <c r="DC130" s="105"/>
      <c r="DD130" s="105"/>
      <c r="DE130" s="105"/>
      <c r="DF130" s="105"/>
      <c r="DG130" s="105"/>
      <c r="DH130" s="105"/>
      <c r="DI130" s="105"/>
      <c r="DJ130" s="105"/>
      <c r="DK130" s="105"/>
      <c r="DL130" s="105"/>
      <c r="DM130" s="105"/>
      <c r="DN130" s="105"/>
      <c r="DO130" s="105"/>
      <c r="DP130" s="105"/>
      <c r="DQ130" s="105"/>
      <c r="DR130" s="105"/>
      <c r="DS130" s="105"/>
      <c r="DT130" s="105"/>
      <c r="DU130" s="105"/>
      <c r="DV130" s="105"/>
      <c r="DW130" s="105"/>
      <c r="DX130" s="105"/>
      <c r="DY130" s="105"/>
      <c r="DZ130" s="105"/>
      <c r="EA130" s="105"/>
      <c r="EB130" s="105"/>
      <c r="EC130" s="105"/>
      <c r="ED130" s="105"/>
      <c r="EE130" s="105"/>
      <c r="EF130" s="105"/>
      <c r="EG130" s="105"/>
      <c r="EH130" s="105"/>
      <c r="EI130" s="105"/>
      <c r="EJ130" s="105"/>
      <c r="EK130" s="105"/>
      <c r="EL130" s="105"/>
      <c r="EM130" s="105"/>
      <c r="EN130" s="105"/>
      <c r="EO130" s="105"/>
      <c r="EP130" s="105"/>
      <c r="EQ130" s="105"/>
      <c r="ER130" s="105"/>
      <c r="ES130" s="105"/>
      <c r="ET130" s="105"/>
      <c r="EU130" s="105"/>
      <c r="EV130" s="105"/>
      <c r="EW130" s="105"/>
      <c r="EX130" s="105"/>
      <c r="EY130" s="105"/>
      <c r="EZ130" s="105"/>
      <c r="FA130" s="105"/>
      <c r="FB130" s="105"/>
      <c r="FC130" s="105"/>
      <c r="FD130" s="105"/>
      <c r="FE130" s="105"/>
      <c r="FF130" s="105"/>
      <c r="FG130" s="105"/>
      <c r="FH130" s="105"/>
      <c r="FI130" s="105"/>
      <c r="FJ130" s="105"/>
      <c r="FK130" s="105"/>
      <c r="FL130" s="105"/>
      <c r="FM130" s="105"/>
      <c r="FN130" s="105"/>
      <c r="FO130" s="105"/>
      <c r="FP130" s="105"/>
      <c r="FQ130" s="105"/>
      <c r="FR130" s="105"/>
      <c r="FS130" s="105"/>
      <c r="FT130" s="105"/>
      <c r="FU130" s="105"/>
      <c r="FV130" s="105"/>
      <c r="FW130" s="105"/>
      <c r="FX130" s="105"/>
      <c r="FY130" s="105"/>
      <c r="FZ130" s="105"/>
      <c r="GA130" s="105"/>
      <c r="GB130" s="105"/>
      <c r="GC130" s="105"/>
      <c r="GD130" s="105"/>
      <c r="GE130" s="105"/>
      <c r="GF130" s="105"/>
      <c r="GG130" s="105"/>
      <c r="GH130" s="105"/>
      <c r="GI130" s="105"/>
      <c r="GJ130" s="105"/>
      <c r="GK130" s="105"/>
      <c r="GL130" s="105"/>
      <c r="GM130" s="105"/>
      <c r="GN130" s="105"/>
      <c r="GO130" s="105"/>
      <c r="GP130" s="105"/>
      <c r="GQ130" s="105"/>
      <c r="GR130" s="105"/>
      <c r="GS130" s="105"/>
      <c r="GT130" s="105"/>
      <c r="GU130" s="105"/>
      <c r="GV130" s="105"/>
      <c r="GW130" s="105"/>
      <c r="GX130" s="105"/>
      <c r="GY130" s="105"/>
      <c r="GZ130" s="105"/>
      <c r="HA130" s="105"/>
      <c r="HB130" s="105"/>
      <c r="HC130" s="105"/>
      <c r="HD130" s="105"/>
      <c r="HE130" s="105"/>
      <c r="HF130" s="105"/>
      <c r="HG130" s="105"/>
      <c r="HH130" s="105"/>
      <c r="HI130" s="105"/>
      <c r="HJ130" s="105"/>
      <c r="HK130" s="105"/>
      <c r="HL130" s="105"/>
      <c r="HM130" s="105"/>
      <c r="HN130" s="105"/>
      <c r="HO130" s="105"/>
      <c r="HP130" s="105"/>
      <c r="HQ130" s="105"/>
      <c r="HR130" s="105"/>
      <c r="HS130" s="105"/>
      <c r="HT130" s="105"/>
      <c r="HU130" s="105"/>
      <c r="HV130" s="105"/>
      <c r="HW130" s="105"/>
      <c r="HX130" s="105"/>
      <c r="HY130" s="105"/>
      <c r="HZ130" s="105"/>
      <c r="IA130" s="105"/>
      <c r="IB130" s="105"/>
      <c r="IC130" s="105"/>
      <c r="ID130" s="105"/>
      <c r="IE130" s="105"/>
      <c r="IF130" s="105"/>
      <c r="IG130" s="105"/>
      <c r="IH130" s="105"/>
      <c r="II130" s="105"/>
      <c r="IJ130" s="105"/>
      <c r="IK130" s="105"/>
      <c r="IL130" s="105"/>
      <c r="IM130" s="105"/>
      <c r="IN130" s="105"/>
      <c r="IO130" s="105"/>
      <c r="IP130" s="105"/>
      <c r="IQ130" s="105"/>
      <c r="IR130" s="105"/>
      <c r="IS130" s="105"/>
      <c r="IT130" s="105"/>
      <c r="IU130" s="105"/>
      <c r="IV130" s="105"/>
    </row>
    <row r="131" s="106" customFormat="1" ht="20.1" customHeight="1" spans="1:256">
      <c r="A131" s="105"/>
      <c r="B131" s="105"/>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5"/>
      <c r="DA131" s="105"/>
      <c r="DB131" s="105"/>
      <c r="DC131" s="105"/>
      <c r="DD131" s="105"/>
      <c r="DE131" s="105"/>
      <c r="DF131" s="105"/>
      <c r="DG131" s="105"/>
      <c r="DH131" s="105"/>
      <c r="DI131" s="105"/>
      <c r="DJ131" s="105"/>
      <c r="DK131" s="105"/>
      <c r="DL131" s="105"/>
      <c r="DM131" s="105"/>
      <c r="DN131" s="105"/>
      <c r="DO131" s="105"/>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05"/>
      <c r="FN131" s="105"/>
      <c r="FO131" s="105"/>
      <c r="FP131" s="105"/>
      <c r="FQ131" s="105"/>
      <c r="FR131" s="105"/>
      <c r="FS131" s="105"/>
      <c r="FT131" s="105"/>
      <c r="FU131" s="105"/>
      <c r="FV131" s="105"/>
      <c r="FW131" s="105"/>
      <c r="FX131" s="105"/>
      <c r="FY131" s="105"/>
      <c r="FZ131" s="105"/>
      <c r="GA131" s="105"/>
      <c r="GB131" s="105"/>
      <c r="GC131" s="105"/>
      <c r="GD131" s="105"/>
      <c r="GE131" s="105"/>
      <c r="GF131" s="105"/>
      <c r="GG131" s="105"/>
      <c r="GH131" s="105"/>
      <c r="GI131" s="105"/>
      <c r="GJ131" s="105"/>
      <c r="GK131" s="105"/>
      <c r="GL131" s="105"/>
      <c r="GM131" s="105"/>
      <c r="GN131" s="105"/>
      <c r="GO131" s="105"/>
      <c r="GP131" s="105"/>
      <c r="GQ131" s="105"/>
      <c r="GR131" s="105"/>
      <c r="GS131" s="105"/>
      <c r="GT131" s="105"/>
      <c r="GU131" s="105"/>
      <c r="GV131" s="105"/>
      <c r="GW131" s="105"/>
      <c r="GX131" s="105"/>
      <c r="GY131" s="105"/>
      <c r="GZ131" s="105"/>
      <c r="HA131" s="105"/>
      <c r="HB131" s="105"/>
      <c r="HC131" s="105"/>
      <c r="HD131" s="105"/>
      <c r="HE131" s="105"/>
      <c r="HF131" s="105"/>
      <c r="HG131" s="105"/>
      <c r="HH131" s="105"/>
      <c r="HI131" s="105"/>
      <c r="HJ131" s="105"/>
      <c r="HK131" s="105"/>
      <c r="HL131" s="105"/>
      <c r="HM131" s="105"/>
      <c r="HN131" s="105"/>
      <c r="HO131" s="105"/>
      <c r="HP131" s="105"/>
      <c r="HQ131" s="105"/>
      <c r="HR131" s="105"/>
      <c r="HS131" s="105"/>
      <c r="HT131" s="105"/>
      <c r="HU131" s="105"/>
      <c r="HV131" s="105"/>
      <c r="HW131" s="105"/>
      <c r="HX131" s="105"/>
      <c r="HY131" s="105"/>
      <c r="HZ131" s="105"/>
      <c r="IA131" s="105"/>
      <c r="IB131" s="105"/>
      <c r="IC131" s="105"/>
      <c r="ID131" s="105"/>
      <c r="IE131" s="105"/>
      <c r="IF131" s="105"/>
      <c r="IG131" s="105"/>
      <c r="IH131" s="105"/>
      <c r="II131" s="105"/>
      <c r="IJ131" s="105"/>
      <c r="IK131" s="105"/>
      <c r="IL131" s="105"/>
      <c r="IM131" s="105"/>
      <c r="IN131" s="105"/>
      <c r="IO131" s="105"/>
      <c r="IP131" s="105"/>
      <c r="IQ131" s="105"/>
      <c r="IR131" s="105"/>
      <c r="IS131" s="105"/>
      <c r="IT131" s="105"/>
      <c r="IU131" s="105"/>
      <c r="IV131" s="105"/>
    </row>
    <row r="132" s="106" customFormat="1" ht="20.1" customHeight="1" spans="1:256">
      <c r="A132" s="105"/>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c r="CN132" s="105"/>
      <c r="CO132" s="105"/>
      <c r="CP132" s="105"/>
      <c r="CQ132" s="105"/>
      <c r="CR132" s="105"/>
      <c r="CS132" s="105"/>
      <c r="CT132" s="105"/>
      <c r="CU132" s="105"/>
      <c r="CV132" s="105"/>
      <c r="CW132" s="105"/>
      <c r="CX132" s="105"/>
      <c r="CY132" s="105"/>
      <c r="CZ132" s="105"/>
      <c r="DA132" s="105"/>
      <c r="DB132" s="105"/>
      <c r="DC132" s="105"/>
      <c r="DD132" s="105"/>
      <c r="DE132" s="105"/>
      <c r="DF132" s="105"/>
      <c r="DG132" s="105"/>
      <c r="DH132" s="105"/>
      <c r="DI132" s="105"/>
      <c r="DJ132" s="105"/>
      <c r="DK132" s="105"/>
      <c r="DL132" s="105"/>
      <c r="DM132" s="105"/>
      <c r="DN132" s="105"/>
      <c r="DO132" s="105"/>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c r="FH132" s="105"/>
      <c r="FI132" s="105"/>
      <c r="FJ132" s="105"/>
      <c r="FK132" s="105"/>
      <c r="FL132" s="105"/>
      <c r="FM132" s="105"/>
      <c r="FN132" s="105"/>
      <c r="FO132" s="105"/>
      <c r="FP132" s="105"/>
      <c r="FQ132" s="105"/>
      <c r="FR132" s="105"/>
      <c r="FS132" s="105"/>
      <c r="FT132" s="105"/>
      <c r="FU132" s="105"/>
      <c r="FV132" s="105"/>
      <c r="FW132" s="105"/>
      <c r="FX132" s="105"/>
      <c r="FY132" s="105"/>
      <c r="FZ132" s="105"/>
      <c r="GA132" s="105"/>
      <c r="GB132" s="105"/>
      <c r="GC132" s="105"/>
      <c r="GD132" s="105"/>
      <c r="GE132" s="105"/>
      <c r="GF132" s="105"/>
      <c r="GG132" s="105"/>
      <c r="GH132" s="105"/>
      <c r="GI132" s="105"/>
      <c r="GJ132" s="105"/>
      <c r="GK132" s="105"/>
      <c r="GL132" s="105"/>
      <c r="GM132" s="105"/>
      <c r="GN132" s="105"/>
      <c r="GO132" s="105"/>
      <c r="GP132" s="105"/>
      <c r="GQ132" s="105"/>
      <c r="GR132" s="105"/>
      <c r="GS132" s="105"/>
      <c r="GT132" s="105"/>
      <c r="GU132" s="105"/>
      <c r="GV132" s="105"/>
      <c r="GW132" s="105"/>
      <c r="GX132" s="105"/>
      <c r="GY132" s="105"/>
      <c r="GZ132" s="105"/>
      <c r="HA132" s="105"/>
      <c r="HB132" s="105"/>
      <c r="HC132" s="105"/>
      <c r="HD132" s="105"/>
      <c r="HE132" s="105"/>
      <c r="HF132" s="105"/>
      <c r="HG132" s="105"/>
      <c r="HH132" s="105"/>
      <c r="HI132" s="105"/>
      <c r="HJ132" s="105"/>
      <c r="HK132" s="105"/>
      <c r="HL132" s="105"/>
      <c r="HM132" s="105"/>
      <c r="HN132" s="105"/>
      <c r="HO132" s="105"/>
      <c r="HP132" s="105"/>
      <c r="HQ132" s="105"/>
      <c r="HR132" s="105"/>
      <c r="HS132" s="105"/>
      <c r="HT132" s="105"/>
      <c r="HU132" s="105"/>
      <c r="HV132" s="105"/>
      <c r="HW132" s="105"/>
      <c r="HX132" s="105"/>
      <c r="HY132" s="105"/>
      <c r="HZ132" s="105"/>
      <c r="IA132" s="105"/>
      <c r="IB132" s="105"/>
      <c r="IC132" s="105"/>
      <c r="ID132" s="105"/>
      <c r="IE132" s="105"/>
      <c r="IF132" s="105"/>
      <c r="IG132" s="105"/>
      <c r="IH132" s="105"/>
      <c r="II132" s="105"/>
      <c r="IJ132" s="105"/>
      <c r="IK132" s="105"/>
      <c r="IL132" s="105"/>
      <c r="IM132" s="105"/>
      <c r="IN132" s="105"/>
      <c r="IO132" s="105"/>
      <c r="IP132" s="105"/>
      <c r="IQ132" s="105"/>
      <c r="IR132" s="105"/>
      <c r="IS132" s="105"/>
      <c r="IT132" s="105"/>
      <c r="IU132" s="105"/>
      <c r="IV132" s="105"/>
    </row>
    <row r="133" s="106" customFormat="1" ht="20.1" customHeight="1" spans="1:256">
      <c r="A133" s="105"/>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5"/>
      <c r="DJ133" s="105"/>
      <c r="DK133" s="105"/>
      <c r="DL133" s="105"/>
      <c r="DM133" s="105"/>
      <c r="DN133" s="105"/>
      <c r="DO133" s="105"/>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05"/>
      <c r="FN133" s="105"/>
      <c r="FO133" s="105"/>
      <c r="FP133" s="105"/>
      <c r="FQ133" s="105"/>
      <c r="FR133" s="105"/>
      <c r="FS133" s="105"/>
      <c r="FT133" s="105"/>
      <c r="FU133" s="105"/>
      <c r="FV133" s="105"/>
      <c r="FW133" s="105"/>
      <c r="FX133" s="105"/>
      <c r="FY133" s="105"/>
      <c r="FZ133" s="105"/>
      <c r="GA133" s="105"/>
      <c r="GB133" s="105"/>
      <c r="GC133" s="105"/>
      <c r="GD133" s="105"/>
      <c r="GE133" s="105"/>
      <c r="GF133" s="105"/>
      <c r="GG133" s="105"/>
      <c r="GH133" s="105"/>
      <c r="GI133" s="105"/>
      <c r="GJ133" s="105"/>
      <c r="GK133" s="105"/>
      <c r="GL133" s="105"/>
      <c r="GM133" s="105"/>
      <c r="GN133" s="105"/>
      <c r="GO133" s="105"/>
      <c r="GP133" s="105"/>
      <c r="GQ133" s="105"/>
      <c r="GR133" s="105"/>
      <c r="GS133" s="105"/>
      <c r="GT133" s="105"/>
      <c r="GU133" s="105"/>
      <c r="GV133" s="105"/>
      <c r="GW133" s="105"/>
      <c r="GX133" s="105"/>
      <c r="GY133" s="105"/>
      <c r="GZ133" s="105"/>
      <c r="HA133" s="105"/>
      <c r="HB133" s="105"/>
      <c r="HC133" s="105"/>
      <c r="HD133" s="105"/>
      <c r="HE133" s="105"/>
      <c r="HF133" s="105"/>
      <c r="HG133" s="105"/>
      <c r="HH133" s="105"/>
      <c r="HI133" s="105"/>
      <c r="HJ133" s="105"/>
      <c r="HK133" s="105"/>
      <c r="HL133" s="105"/>
      <c r="HM133" s="105"/>
      <c r="HN133" s="105"/>
      <c r="HO133" s="105"/>
      <c r="HP133" s="105"/>
      <c r="HQ133" s="105"/>
      <c r="HR133" s="105"/>
      <c r="HS133" s="105"/>
      <c r="HT133" s="105"/>
      <c r="HU133" s="105"/>
      <c r="HV133" s="105"/>
      <c r="HW133" s="105"/>
      <c r="HX133" s="105"/>
      <c r="HY133" s="105"/>
      <c r="HZ133" s="105"/>
      <c r="IA133" s="105"/>
      <c r="IB133" s="105"/>
      <c r="IC133" s="105"/>
      <c r="ID133" s="105"/>
      <c r="IE133" s="105"/>
      <c r="IF133" s="105"/>
      <c r="IG133" s="105"/>
      <c r="IH133" s="105"/>
      <c r="II133" s="105"/>
      <c r="IJ133" s="105"/>
      <c r="IK133" s="105"/>
      <c r="IL133" s="105"/>
      <c r="IM133" s="105"/>
      <c r="IN133" s="105"/>
      <c r="IO133" s="105"/>
      <c r="IP133" s="105"/>
      <c r="IQ133" s="105"/>
      <c r="IR133" s="105"/>
      <c r="IS133" s="105"/>
      <c r="IT133" s="105"/>
      <c r="IU133" s="105"/>
      <c r="IV133" s="105"/>
    </row>
    <row r="134" s="106" customFormat="1" ht="20.1" customHeight="1" spans="1:256">
      <c r="A134" s="105"/>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5"/>
      <c r="CF134" s="105"/>
      <c r="CG134" s="105"/>
      <c r="CH134" s="105"/>
      <c r="CI134" s="105"/>
      <c r="CJ134" s="105"/>
      <c r="CK134" s="105"/>
      <c r="CL134" s="105"/>
      <c r="CM134" s="105"/>
      <c r="CN134" s="105"/>
      <c r="CO134" s="105"/>
      <c r="CP134" s="105"/>
      <c r="CQ134" s="105"/>
      <c r="CR134" s="105"/>
      <c r="CS134" s="105"/>
      <c r="CT134" s="105"/>
      <c r="CU134" s="105"/>
      <c r="CV134" s="105"/>
      <c r="CW134" s="105"/>
      <c r="CX134" s="105"/>
      <c r="CY134" s="105"/>
      <c r="CZ134" s="105"/>
      <c r="DA134" s="105"/>
      <c r="DB134" s="105"/>
      <c r="DC134" s="105"/>
      <c r="DD134" s="105"/>
      <c r="DE134" s="105"/>
      <c r="DF134" s="105"/>
      <c r="DG134" s="105"/>
      <c r="DH134" s="105"/>
      <c r="DI134" s="105"/>
      <c r="DJ134" s="105"/>
      <c r="DK134" s="105"/>
      <c r="DL134" s="105"/>
      <c r="DM134" s="105"/>
      <c r="DN134" s="105"/>
      <c r="DO134" s="105"/>
      <c r="DP134" s="105"/>
      <c r="DQ134" s="105"/>
      <c r="DR134" s="105"/>
      <c r="DS134" s="105"/>
      <c r="DT134" s="105"/>
      <c r="DU134" s="105"/>
      <c r="DV134" s="105"/>
      <c r="DW134" s="105"/>
      <c r="DX134" s="105"/>
      <c r="DY134" s="105"/>
      <c r="DZ134" s="105"/>
      <c r="EA134" s="105"/>
      <c r="EB134" s="105"/>
      <c r="EC134" s="105"/>
      <c r="ED134" s="105"/>
      <c r="EE134" s="105"/>
      <c r="EF134" s="105"/>
      <c r="EG134" s="105"/>
      <c r="EH134" s="105"/>
      <c r="EI134" s="105"/>
      <c r="EJ134" s="105"/>
      <c r="EK134" s="105"/>
      <c r="EL134" s="105"/>
      <c r="EM134" s="105"/>
      <c r="EN134" s="105"/>
      <c r="EO134" s="105"/>
      <c r="EP134" s="105"/>
      <c r="EQ134" s="105"/>
      <c r="ER134" s="105"/>
      <c r="ES134" s="105"/>
      <c r="ET134" s="105"/>
      <c r="EU134" s="105"/>
      <c r="EV134" s="105"/>
      <c r="EW134" s="105"/>
      <c r="EX134" s="105"/>
      <c r="EY134" s="105"/>
      <c r="EZ134" s="105"/>
      <c r="FA134" s="105"/>
      <c r="FB134" s="105"/>
      <c r="FC134" s="105"/>
      <c r="FD134" s="105"/>
      <c r="FE134" s="105"/>
      <c r="FF134" s="105"/>
      <c r="FG134" s="105"/>
      <c r="FH134" s="105"/>
      <c r="FI134" s="105"/>
      <c r="FJ134" s="105"/>
      <c r="FK134" s="105"/>
      <c r="FL134" s="105"/>
      <c r="FM134" s="105"/>
      <c r="FN134" s="105"/>
      <c r="FO134" s="105"/>
      <c r="FP134" s="105"/>
      <c r="FQ134" s="105"/>
      <c r="FR134" s="105"/>
      <c r="FS134" s="105"/>
      <c r="FT134" s="105"/>
      <c r="FU134" s="105"/>
      <c r="FV134" s="105"/>
      <c r="FW134" s="105"/>
      <c r="FX134" s="105"/>
      <c r="FY134" s="105"/>
      <c r="FZ134" s="105"/>
      <c r="GA134" s="105"/>
      <c r="GB134" s="105"/>
      <c r="GC134" s="105"/>
      <c r="GD134" s="105"/>
      <c r="GE134" s="105"/>
      <c r="GF134" s="105"/>
      <c r="GG134" s="105"/>
      <c r="GH134" s="105"/>
      <c r="GI134" s="105"/>
      <c r="GJ134" s="105"/>
      <c r="GK134" s="105"/>
      <c r="GL134" s="105"/>
      <c r="GM134" s="105"/>
      <c r="GN134" s="105"/>
      <c r="GO134" s="105"/>
      <c r="GP134" s="105"/>
      <c r="GQ134" s="105"/>
      <c r="GR134" s="105"/>
      <c r="GS134" s="105"/>
      <c r="GT134" s="105"/>
      <c r="GU134" s="105"/>
      <c r="GV134" s="105"/>
      <c r="GW134" s="105"/>
      <c r="GX134" s="105"/>
      <c r="GY134" s="105"/>
      <c r="GZ134" s="105"/>
      <c r="HA134" s="105"/>
      <c r="HB134" s="105"/>
      <c r="HC134" s="105"/>
      <c r="HD134" s="105"/>
      <c r="HE134" s="105"/>
      <c r="HF134" s="105"/>
      <c r="HG134" s="105"/>
      <c r="HH134" s="105"/>
      <c r="HI134" s="105"/>
      <c r="HJ134" s="105"/>
      <c r="HK134" s="105"/>
      <c r="HL134" s="105"/>
      <c r="HM134" s="105"/>
      <c r="HN134" s="105"/>
      <c r="HO134" s="105"/>
      <c r="HP134" s="105"/>
      <c r="HQ134" s="105"/>
      <c r="HR134" s="105"/>
      <c r="HS134" s="105"/>
      <c r="HT134" s="105"/>
      <c r="HU134" s="105"/>
      <c r="HV134" s="105"/>
      <c r="HW134" s="105"/>
      <c r="HX134" s="105"/>
      <c r="HY134" s="105"/>
      <c r="HZ134" s="105"/>
      <c r="IA134" s="105"/>
      <c r="IB134" s="105"/>
      <c r="IC134" s="105"/>
      <c r="ID134" s="105"/>
      <c r="IE134" s="105"/>
      <c r="IF134" s="105"/>
      <c r="IG134" s="105"/>
      <c r="IH134" s="105"/>
      <c r="II134" s="105"/>
      <c r="IJ134" s="105"/>
      <c r="IK134" s="105"/>
      <c r="IL134" s="105"/>
      <c r="IM134" s="105"/>
      <c r="IN134" s="105"/>
      <c r="IO134" s="105"/>
      <c r="IP134" s="105"/>
      <c r="IQ134" s="105"/>
      <c r="IR134" s="105"/>
      <c r="IS134" s="105"/>
      <c r="IT134" s="105"/>
      <c r="IU134" s="105"/>
      <c r="IV134" s="105"/>
    </row>
    <row r="135" s="106" customFormat="1" ht="20.1" customHeight="1" spans="1:256">
      <c r="A135" s="105"/>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5"/>
      <c r="DJ135" s="105"/>
      <c r="DK135" s="105"/>
      <c r="DL135" s="105"/>
      <c r="DM135" s="105"/>
      <c r="DN135" s="105"/>
      <c r="DO135" s="105"/>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05"/>
      <c r="FN135" s="105"/>
      <c r="FO135" s="105"/>
      <c r="FP135" s="105"/>
      <c r="FQ135" s="105"/>
      <c r="FR135" s="105"/>
      <c r="FS135" s="105"/>
      <c r="FT135" s="105"/>
      <c r="FU135" s="105"/>
      <c r="FV135" s="105"/>
      <c r="FW135" s="105"/>
      <c r="FX135" s="105"/>
      <c r="FY135" s="105"/>
      <c r="FZ135" s="105"/>
      <c r="GA135" s="105"/>
      <c r="GB135" s="105"/>
      <c r="GC135" s="105"/>
      <c r="GD135" s="105"/>
      <c r="GE135" s="105"/>
      <c r="GF135" s="105"/>
      <c r="GG135" s="105"/>
      <c r="GH135" s="105"/>
      <c r="GI135" s="105"/>
      <c r="GJ135" s="105"/>
      <c r="GK135" s="105"/>
      <c r="GL135" s="105"/>
      <c r="GM135" s="105"/>
      <c r="GN135" s="105"/>
      <c r="GO135" s="105"/>
      <c r="GP135" s="105"/>
      <c r="GQ135" s="105"/>
      <c r="GR135" s="105"/>
      <c r="GS135" s="105"/>
      <c r="GT135" s="105"/>
      <c r="GU135" s="105"/>
      <c r="GV135" s="105"/>
      <c r="GW135" s="105"/>
      <c r="GX135" s="105"/>
      <c r="GY135" s="105"/>
      <c r="GZ135" s="105"/>
      <c r="HA135" s="105"/>
      <c r="HB135" s="105"/>
      <c r="HC135" s="105"/>
      <c r="HD135" s="105"/>
      <c r="HE135" s="105"/>
      <c r="HF135" s="105"/>
      <c r="HG135" s="105"/>
      <c r="HH135" s="105"/>
      <c r="HI135" s="105"/>
      <c r="HJ135" s="105"/>
      <c r="HK135" s="105"/>
      <c r="HL135" s="105"/>
      <c r="HM135" s="105"/>
      <c r="HN135" s="105"/>
      <c r="HO135" s="105"/>
      <c r="HP135" s="105"/>
      <c r="HQ135" s="105"/>
      <c r="HR135" s="105"/>
      <c r="HS135" s="105"/>
      <c r="HT135" s="105"/>
      <c r="HU135" s="105"/>
      <c r="HV135" s="105"/>
      <c r="HW135" s="105"/>
      <c r="HX135" s="105"/>
      <c r="HY135" s="105"/>
      <c r="HZ135" s="105"/>
      <c r="IA135" s="105"/>
      <c r="IB135" s="105"/>
      <c r="IC135" s="105"/>
      <c r="ID135" s="105"/>
      <c r="IE135" s="105"/>
      <c r="IF135" s="105"/>
      <c r="IG135" s="105"/>
      <c r="IH135" s="105"/>
      <c r="II135" s="105"/>
      <c r="IJ135" s="105"/>
      <c r="IK135" s="105"/>
      <c r="IL135" s="105"/>
      <c r="IM135" s="105"/>
      <c r="IN135" s="105"/>
      <c r="IO135" s="105"/>
      <c r="IP135" s="105"/>
      <c r="IQ135" s="105"/>
      <c r="IR135" s="105"/>
      <c r="IS135" s="105"/>
      <c r="IT135" s="105"/>
      <c r="IU135" s="105"/>
      <c r="IV135" s="105"/>
    </row>
    <row r="136" s="106" customFormat="1" ht="20.1" customHeight="1" spans="1:256">
      <c r="A136" s="105"/>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c r="CV136" s="105"/>
      <c r="CW136" s="105"/>
      <c r="CX136" s="105"/>
      <c r="CY136" s="105"/>
      <c r="CZ136" s="105"/>
      <c r="DA136" s="105"/>
      <c r="DB136" s="105"/>
      <c r="DC136" s="105"/>
      <c r="DD136" s="105"/>
      <c r="DE136" s="105"/>
      <c r="DF136" s="105"/>
      <c r="DG136" s="105"/>
      <c r="DH136" s="105"/>
      <c r="DI136" s="105"/>
      <c r="DJ136" s="105"/>
      <c r="DK136" s="105"/>
      <c r="DL136" s="105"/>
      <c r="DM136" s="105"/>
      <c r="DN136" s="105"/>
      <c r="DO136" s="105"/>
      <c r="DP136" s="105"/>
      <c r="DQ136" s="105"/>
      <c r="DR136" s="105"/>
      <c r="DS136" s="105"/>
      <c r="DT136" s="105"/>
      <c r="DU136" s="105"/>
      <c r="DV136" s="105"/>
      <c r="DW136" s="105"/>
      <c r="DX136" s="105"/>
      <c r="DY136" s="105"/>
      <c r="DZ136" s="105"/>
      <c r="EA136" s="105"/>
      <c r="EB136" s="105"/>
      <c r="EC136" s="105"/>
      <c r="ED136" s="105"/>
      <c r="EE136" s="105"/>
      <c r="EF136" s="105"/>
      <c r="EG136" s="105"/>
      <c r="EH136" s="105"/>
      <c r="EI136" s="105"/>
      <c r="EJ136" s="105"/>
      <c r="EK136" s="105"/>
      <c r="EL136" s="105"/>
      <c r="EM136" s="105"/>
      <c r="EN136" s="105"/>
      <c r="EO136" s="105"/>
      <c r="EP136" s="105"/>
      <c r="EQ136" s="105"/>
      <c r="ER136" s="105"/>
      <c r="ES136" s="105"/>
      <c r="ET136" s="105"/>
      <c r="EU136" s="105"/>
      <c r="EV136" s="105"/>
      <c r="EW136" s="105"/>
      <c r="EX136" s="105"/>
      <c r="EY136" s="105"/>
      <c r="EZ136" s="105"/>
      <c r="FA136" s="105"/>
      <c r="FB136" s="105"/>
      <c r="FC136" s="105"/>
      <c r="FD136" s="105"/>
      <c r="FE136" s="105"/>
      <c r="FF136" s="105"/>
      <c r="FG136" s="105"/>
      <c r="FH136" s="105"/>
      <c r="FI136" s="105"/>
      <c r="FJ136" s="105"/>
      <c r="FK136" s="105"/>
      <c r="FL136" s="105"/>
      <c r="FM136" s="105"/>
      <c r="FN136" s="105"/>
      <c r="FO136" s="105"/>
      <c r="FP136" s="105"/>
      <c r="FQ136" s="105"/>
      <c r="FR136" s="105"/>
      <c r="FS136" s="105"/>
      <c r="FT136" s="105"/>
      <c r="FU136" s="105"/>
      <c r="FV136" s="105"/>
      <c r="FW136" s="105"/>
      <c r="FX136" s="105"/>
      <c r="FY136" s="105"/>
      <c r="FZ136" s="105"/>
      <c r="GA136" s="105"/>
      <c r="GB136" s="105"/>
      <c r="GC136" s="105"/>
      <c r="GD136" s="105"/>
      <c r="GE136" s="105"/>
      <c r="GF136" s="105"/>
      <c r="GG136" s="105"/>
      <c r="GH136" s="105"/>
      <c r="GI136" s="105"/>
      <c r="GJ136" s="105"/>
      <c r="GK136" s="105"/>
      <c r="GL136" s="105"/>
      <c r="GM136" s="105"/>
      <c r="GN136" s="105"/>
      <c r="GO136" s="105"/>
      <c r="GP136" s="105"/>
      <c r="GQ136" s="105"/>
      <c r="GR136" s="105"/>
      <c r="GS136" s="105"/>
      <c r="GT136" s="105"/>
      <c r="GU136" s="105"/>
      <c r="GV136" s="105"/>
      <c r="GW136" s="105"/>
      <c r="GX136" s="105"/>
      <c r="GY136" s="105"/>
      <c r="GZ136" s="105"/>
      <c r="HA136" s="105"/>
      <c r="HB136" s="105"/>
      <c r="HC136" s="105"/>
      <c r="HD136" s="105"/>
      <c r="HE136" s="105"/>
      <c r="HF136" s="105"/>
      <c r="HG136" s="105"/>
      <c r="HH136" s="105"/>
      <c r="HI136" s="105"/>
      <c r="HJ136" s="105"/>
      <c r="HK136" s="105"/>
      <c r="HL136" s="105"/>
      <c r="HM136" s="105"/>
      <c r="HN136" s="105"/>
      <c r="HO136" s="105"/>
      <c r="HP136" s="105"/>
      <c r="HQ136" s="105"/>
      <c r="HR136" s="105"/>
      <c r="HS136" s="105"/>
      <c r="HT136" s="105"/>
      <c r="HU136" s="105"/>
      <c r="HV136" s="105"/>
      <c r="HW136" s="105"/>
      <c r="HX136" s="105"/>
      <c r="HY136" s="105"/>
      <c r="HZ136" s="105"/>
      <c r="IA136" s="105"/>
      <c r="IB136" s="105"/>
      <c r="IC136" s="105"/>
      <c r="ID136" s="105"/>
      <c r="IE136" s="105"/>
      <c r="IF136" s="105"/>
      <c r="IG136" s="105"/>
      <c r="IH136" s="105"/>
      <c r="II136" s="105"/>
      <c r="IJ136" s="105"/>
      <c r="IK136" s="105"/>
      <c r="IL136" s="105"/>
      <c r="IM136" s="105"/>
      <c r="IN136" s="105"/>
      <c r="IO136" s="105"/>
      <c r="IP136" s="105"/>
      <c r="IQ136" s="105"/>
      <c r="IR136" s="105"/>
      <c r="IS136" s="105"/>
      <c r="IT136" s="105"/>
      <c r="IU136" s="105"/>
      <c r="IV136" s="105"/>
    </row>
    <row r="137" s="106" customFormat="1" ht="20.1" customHeight="1" spans="1:256">
      <c r="A137" s="105"/>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c r="HZ137" s="105"/>
      <c r="IA137" s="105"/>
      <c r="IB137" s="105"/>
      <c r="IC137" s="105"/>
      <c r="ID137" s="105"/>
      <c r="IE137" s="105"/>
      <c r="IF137" s="105"/>
      <c r="IG137" s="105"/>
      <c r="IH137" s="105"/>
      <c r="II137" s="105"/>
      <c r="IJ137" s="105"/>
      <c r="IK137" s="105"/>
      <c r="IL137" s="105"/>
      <c r="IM137" s="105"/>
      <c r="IN137" s="105"/>
      <c r="IO137" s="105"/>
      <c r="IP137" s="105"/>
      <c r="IQ137" s="105"/>
      <c r="IR137" s="105"/>
      <c r="IS137" s="105"/>
      <c r="IT137" s="105"/>
      <c r="IU137" s="105"/>
      <c r="IV137" s="105"/>
    </row>
    <row r="138" s="106" customFormat="1" ht="20.1" customHeight="1" spans="1:256">
      <c r="A138" s="105"/>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5"/>
      <c r="DJ138" s="105"/>
      <c r="DK138" s="105"/>
      <c r="DL138" s="105"/>
      <c r="DM138" s="105"/>
      <c r="DN138" s="105"/>
      <c r="DO138" s="105"/>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05"/>
      <c r="FN138" s="105"/>
      <c r="FO138" s="105"/>
      <c r="FP138" s="105"/>
      <c r="FQ138" s="105"/>
      <c r="FR138" s="105"/>
      <c r="FS138" s="105"/>
      <c r="FT138" s="105"/>
      <c r="FU138" s="105"/>
      <c r="FV138" s="105"/>
      <c r="FW138" s="105"/>
      <c r="FX138" s="105"/>
      <c r="FY138" s="105"/>
      <c r="FZ138" s="105"/>
      <c r="GA138" s="105"/>
      <c r="GB138" s="105"/>
      <c r="GC138" s="105"/>
      <c r="GD138" s="105"/>
      <c r="GE138" s="105"/>
      <c r="GF138" s="105"/>
      <c r="GG138" s="105"/>
      <c r="GH138" s="105"/>
      <c r="GI138" s="105"/>
      <c r="GJ138" s="105"/>
      <c r="GK138" s="105"/>
      <c r="GL138" s="105"/>
      <c r="GM138" s="105"/>
      <c r="GN138" s="105"/>
      <c r="GO138" s="105"/>
      <c r="GP138" s="105"/>
      <c r="GQ138" s="105"/>
      <c r="GR138" s="105"/>
      <c r="GS138" s="105"/>
      <c r="GT138" s="105"/>
      <c r="GU138" s="105"/>
      <c r="GV138" s="105"/>
      <c r="GW138" s="105"/>
      <c r="GX138" s="105"/>
      <c r="GY138" s="105"/>
      <c r="GZ138" s="105"/>
      <c r="HA138" s="105"/>
      <c r="HB138" s="105"/>
      <c r="HC138" s="105"/>
      <c r="HD138" s="105"/>
      <c r="HE138" s="105"/>
      <c r="HF138" s="105"/>
      <c r="HG138" s="105"/>
      <c r="HH138" s="105"/>
      <c r="HI138" s="105"/>
      <c r="HJ138" s="105"/>
      <c r="HK138" s="105"/>
      <c r="HL138" s="105"/>
      <c r="HM138" s="105"/>
      <c r="HN138" s="105"/>
      <c r="HO138" s="105"/>
      <c r="HP138" s="105"/>
      <c r="HQ138" s="105"/>
      <c r="HR138" s="105"/>
      <c r="HS138" s="105"/>
      <c r="HT138" s="105"/>
      <c r="HU138" s="105"/>
      <c r="HV138" s="105"/>
      <c r="HW138" s="105"/>
      <c r="HX138" s="105"/>
      <c r="HY138" s="105"/>
      <c r="HZ138" s="105"/>
      <c r="IA138" s="105"/>
      <c r="IB138" s="105"/>
      <c r="IC138" s="105"/>
      <c r="ID138" s="105"/>
      <c r="IE138" s="105"/>
      <c r="IF138" s="105"/>
      <c r="IG138" s="105"/>
      <c r="IH138" s="105"/>
      <c r="II138" s="105"/>
      <c r="IJ138" s="105"/>
      <c r="IK138" s="105"/>
      <c r="IL138" s="105"/>
      <c r="IM138" s="105"/>
      <c r="IN138" s="105"/>
      <c r="IO138" s="105"/>
      <c r="IP138" s="105"/>
      <c r="IQ138" s="105"/>
      <c r="IR138" s="105"/>
      <c r="IS138" s="105"/>
      <c r="IT138" s="105"/>
      <c r="IU138" s="105"/>
      <c r="IV138" s="105"/>
    </row>
    <row r="139" s="106" customFormat="1" ht="20.1" customHeight="1" spans="1:256">
      <c r="A139" s="105"/>
      <c r="B139" s="105"/>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c r="CV139" s="105"/>
      <c r="CW139" s="105"/>
      <c r="CX139" s="105"/>
      <c r="CY139" s="105"/>
      <c r="CZ139" s="105"/>
      <c r="DA139" s="105"/>
      <c r="DB139" s="105"/>
      <c r="DC139" s="105"/>
      <c r="DD139" s="105"/>
      <c r="DE139" s="105"/>
      <c r="DF139" s="105"/>
      <c r="DG139" s="105"/>
      <c r="DH139" s="105"/>
      <c r="DI139" s="105"/>
      <c r="DJ139" s="105"/>
      <c r="DK139" s="105"/>
      <c r="DL139" s="105"/>
      <c r="DM139" s="105"/>
      <c r="DN139" s="105"/>
      <c r="DO139" s="105"/>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05"/>
      <c r="FN139" s="105"/>
      <c r="FO139" s="105"/>
      <c r="FP139" s="105"/>
      <c r="FQ139" s="105"/>
      <c r="FR139" s="105"/>
      <c r="FS139" s="105"/>
      <c r="FT139" s="105"/>
      <c r="FU139" s="105"/>
      <c r="FV139" s="105"/>
      <c r="FW139" s="105"/>
      <c r="FX139" s="105"/>
      <c r="FY139" s="105"/>
      <c r="FZ139" s="105"/>
      <c r="GA139" s="105"/>
      <c r="GB139" s="105"/>
      <c r="GC139" s="105"/>
      <c r="GD139" s="105"/>
      <c r="GE139" s="105"/>
      <c r="GF139" s="105"/>
      <c r="GG139" s="105"/>
      <c r="GH139" s="105"/>
      <c r="GI139" s="105"/>
      <c r="GJ139" s="105"/>
      <c r="GK139" s="105"/>
      <c r="GL139" s="105"/>
      <c r="GM139" s="105"/>
      <c r="GN139" s="105"/>
      <c r="GO139" s="105"/>
      <c r="GP139" s="105"/>
      <c r="GQ139" s="105"/>
      <c r="GR139" s="105"/>
      <c r="GS139" s="105"/>
      <c r="GT139" s="105"/>
      <c r="GU139" s="105"/>
      <c r="GV139" s="105"/>
      <c r="GW139" s="105"/>
      <c r="GX139" s="105"/>
      <c r="GY139" s="105"/>
      <c r="GZ139" s="105"/>
      <c r="HA139" s="105"/>
      <c r="HB139" s="105"/>
      <c r="HC139" s="105"/>
      <c r="HD139" s="105"/>
      <c r="HE139" s="105"/>
      <c r="HF139" s="105"/>
      <c r="HG139" s="105"/>
      <c r="HH139" s="105"/>
      <c r="HI139" s="105"/>
      <c r="HJ139" s="105"/>
      <c r="HK139" s="105"/>
      <c r="HL139" s="105"/>
      <c r="HM139" s="105"/>
      <c r="HN139" s="105"/>
      <c r="HO139" s="105"/>
      <c r="HP139" s="105"/>
      <c r="HQ139" s="105"/>
      <c r="HR139" s="105"/>
      <c r="HS139" s="105"/>
      <c r="HT139" s="105"/>
      <c r="HU139" s="105"/>
      <c r="HV139" s="105"/>
      <c r="HW139" s="105"/>
      <c r="HX139" s="105"/>
      <c r="HY139" s="105"/>
      <c r="HZ139" s="105"/>
      <c r="IA139" s="105"/>
      <c r="IB139" s="105"/>
      <c r="IC139" s="105"/>
      <c r="ID139" s="105"/>
      <c r="IE139" s="105"/>
      <c r="IF139" s="105"/>
      <c r="IG139" s="105"/>
      <c r="IH139" s="105"/>
      <c r="II139" s="105"/>
      <c r="IJ139" s="105"/>
      <c r="IK139" s="105"/>
      <c r="IL139" s="105"/>
      <c r="IM139" s="105"/>
      <c r="IN139" s="105"/>
      <c r="IO139" s="105"/>
      <c r="IP139" s="105"/>
      <c r="IQ139" s="105"/>
      <c r="IR139" s="105"/>
      <c r="IS139" s="105"/>
      <c r="IT139" s="105"/>
      <c r="IU139" s="105"/>
      <c r="IV139" s="105"/>
    </row>
    <row r="140" s="106" customFormat="1" ht="20.1" customHeight="1" spans="1:256">
      <c r="A140" s="105"/>
      <c r="B140" s="105"/>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c r="CC140" s="105"/>
      <c r="CD140" s="105"/>
      <c r="CE140" s="105"/>
      <c r="CF140" s="105"/>
      <c r="CG140" s="105"/>
      <c r="CH140" s="105"/>
      <c r="CI140" s="105"/>
      <c r="CJ140" s="105"/>
      <c r="CK140" s="105"/>
      <c r="CL140" s="105"/>
      <c r="CM140" s="105"/>
      <c r="CN140" s="105"/>
      <c r="CO140" s="105"/>
      <c r="CP140" s="105"/>
      <c r="CQ140" s="105"/>
      <c r="CR140" s="105"/>
      <c r="CS140" s="105"/>
      <c r="CT140" s="105"/>
      <c r="CU140" s="105"/>
      <c r="CV140" s="105"/>
      <c r="CW140" s="105"/>
      <c r="CX140" s="105"/>
      <c r="CY140" s="105"/>
      <c r="CZ140" s="105"/>
      <c r="DA140" s="105"/>
      <c r="DB140" s="105"/>
      <c r="DC140" s="105"/>
      <c r="DD140" s="105"/>
      <c r="DE140" s="105"/>
      <c r="DF140" s="105"/>
      <c r="DG140" s="105"/>
      <c r="DH140" s="105"/>
      <c r="DI140" s="105"/>
      <c r="DJ140" s="105"/>
      <c r="DK140" s="105"/>
      <c r="DL140" s="105"/>
      <c r="DM140" s="105"/>
      <c r="DN140" s="105"/>
      <c r="DO140" s="105"/>
      <c r="DP140" s="105"/>
      <c r="DQ140" s="105"/>
      <c r="DR140" s="105"/>
      <c r="DS140" s="105"/>
      <c r="DT140" s="105"/>
      <c r="DU140" s="105"/>
      <c r="DV140" s="105"/>
      <c r="DW140" s="105"/>
      <c r="DX140" s="105"/>
      <c r="DY140" s="105"/>
      <c r="DZ140" s="105"/>
      <c r="EA140" s="105"/>
      <c r="EB140" s="105"/>
      <c r="EC140" s="105"/>
      <c r="ED140" s="105"/>
      <c r="EE140" s="105"/>
      <c r="EF140" s="105"/>
      <c r="EG140" s="105"/>
      <c r="EH140" s="105"/>
      <c r="EI140" s="105"/>
      <c r="EJ140" s="105"/>
      <c r="EK140" s="105"/>
      <c r="EL140" s="105"/>
      <c r="EM140" s="105"/>
      <c r="EN140" s="105"/>
      <c r="EO140" s="105"/>
      <c r="EP140" s="105"/>
      <c r="EQ140" s="105"/>
      <c r="ER140" s="105"/>
      <c r="ES140" s="105"/>
      <c r="ET140" s="105"/>
      <c r="EU140" s="105"/>
      <c r="EV140" s="105"/>
      <c r="EW140" s="105"/>
      <c r="EX140" s="105"/>
      <c r="EY140" s="105"/>
      <c r="EZ140" s="105"/>
      <c r="FA140" s="105"/>
      <c r="FB140" s="105"/>
      <c r="FC140" s="105"/>
      <c r="FD140" s="105"/>
      <c r="FE140" s="105"/>
      <c r="FF140" s="105"/>
      <c r="FG140" s="105"/>
      <c r="FH140" s="105"/>
      <c r="FI140" s="105"/>
      <c r="FJ140" s="105"/>
      <c r="FK140" s="105"/>
      <c r="FL140" s="105"/>
      <c r="FM140" s="105"/>
      <c r="FN140" s="105"/>
      <c r="FO140" s="105"/>
      <c r="FP140" s="105"/>
      <c r="FQ140" s="105"/>
      <c r="FR140" s="105"/>
      <c r="FS140" s="105"/>
      <c r="FT140" s="105"/>
      <c r="FU140" s="105"/>
      <c r="FV140" s="105"/>
      <c r="FW140" s="105"/>
      <c r="FX140" s="105"/>
      <c r="FY140" s="105"/>
      <c r="FZ140" s="105"/>
      <c r="GA140" s="105"/>
      <c r="GB140" s="105"/>
      <c r="GC140" s="105"/>
      <c r="GD140" s="105"/>
      <c r="GE140" s="105"/>
      <c r="GF140" s="105"/>
      <c r="GG140" s="105"/>
      <c r="GH140" s="105"/>
      <c r="GI140" s="105"/>
      <c r="GJ140" s="105"/>
      <c r="GK140" s="105"/>
      <c r="GL140" s="105"/>
      <c r="GM140" s="105"/>
      <c r="GN140" s="105"/>
      <c r="GO140" s="105"/>
      <c r="GP140" s="105"/>
      <c r="GQ140" s="105"/>
      <c r="GR140" s="105"/>
      <c r="GS140" s="105"/>
      <c r="GT140" s="105"/>
      <c r="GU140" s="105"/>
      <c r="GV140" s="105"/>
      <c r="GW140" s="105"/>
      <c r="GX140" s="105"/>
      <c r="GY140" s="105"/>
      <c r="GZ140" s="105"/>
      <c r="HA140" s="105"/>
      <c r="HB140" s="105"/>
      <c r="HC140" s="105"/>
      <c r="HD140" s="105"/>
      <c r="HE140" s="105"/>
      <c r="HF140" s="105"/>
      <c r="HG140" s="105"/>
      <c r="HH140" s="105"/>
      <c r="HI140" s="105"/>
      <c r="HJ140" s="105"/>
      <c r="HK140" s="105"/>
      <c r="HL140" s="105"/>
      <c r="HM140" s="105"/>
      <c r="HN140" s="105"/>
      <c r="HO140" s="105"/>
      <c r="HP140" s="105"/>
      <c r="HQ140" s="105"/>
      <c r="HR140" s="105"/>
      <c r="HS140" s="105"/>
      <c r="HT140" s="105"/>
      <c r="HU140" s="105"/>
      <c r="HV140" s="105"/>
      <c r="HW140" s="105"/>
      <c r="HX140" s="105"/>
      <c r="HY140" s="105"/>
      <c r="HZ140" s="105"/>
      <c r="IA140" s="105"/>
      <c r="IB140" s="105"/>
      <c r="IC140" s="105"/>
      <c r="ID140" s="105"/>
      <c r="IE140" s="105"/>
      <c r="IF140" s="105"/>
      <c r="IG140" s="105"/>
      <c r="IH140" s="105"/>
      <c r="II140" s="105"/>
      <c r="IJ140" s="105"/>
      <c r="IK140" s="105"/>
      <c r="IL140" s="105"/>
      <c r="IM140" s="105"/>
      <c r="IN140" s="105"/>
      <c r="IO140" s="105"/>
      <c r="IP140" s="105"/>
      <c r="IQ140" s="105"/>
      <c r="IR140" s="105"/>
      <c r="IS140" s="105"/>
      <c r="IT140" s="105"/>
      <c r="IU140" s="105"/>
      <c r="IV140" s="105"/>
    </row>
    <row r="141" s="106" customFormat="1" ht="20.1" customHeight="1" spans="1:256">
      <c r="A141" s="105"/>
      <c r="B141" s="105"/>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05"/>
      <c r="FN141" s="105"/>
      <c r="FO141" s="105"/>
      <c r="FP141" s="105"/>
      <c r="FQ141" s="105"/>
      <c r="FR141" s="105"/>
      <c r="FS141" s="105"/>
      <c r="FT141" s="105"/>
      <c r="FU141" s="105"/>
      <c r="FV141" s="105"/>
      <c r="FW141" s="105"/>
      <c r="FX141" s="105"/>
      <c r="FY141" s="105"/>
      <c r="FZ141" s="105"/>
      <c r="GA141" s="105"/>
      <c r="GB141" s="105"/>
      <c r="GC141" s="105"/>
      <c r="GD141" s="105"/>
      <c r="GE141" s="105"/>
      <c r="GF141" s="105"/>
      <c r="GG141" s="105"/>
      <c r="GH141" s="105"/>
      <c r="GI141" s="105"/>
      <c r="GJ141" s="105"/>
      <c r="GK141" s="105"/>
      <c r="GL141" s="105"/>
      <c r="GM141" s="105"/>
      <c r="GN141" s="105"/>
      <c r="GO141" s="105"/>
      <c r="GP141" s="105"/>
      <c r="GQ141" s="105"/>
      <c r="GR141" s="105"/>
      <c r="GS141" s="105"/>
      <c r="GT141" s="105"/>
      <c r="GU141" s="105"/>
      <c r="GV141" s="105"/>
      <c r="GW141" s="105"/>
      <c r="GX141" s="105"/>
      <c r="GY141" s="105"/>
      <c r="GZ141" s="105"/>
      <c r="HA141" s="105"/>
      <c r="HB141" s="105"/>
      <c r="HC141" s="105"/>
      <c r="HD141" s="105"/>
      <c r="HE141" s="105"/>
      <c r="HF141" s="105"/>
      <c r="HG141" s="105"/>
      <c r="HH141" s="105"/>
      <c r="HI141" s="105"/>
      <c r="HJ141" s="105"/>
      <c r="HK141" s="105"/>
      <c r="HL141" s="105"/>
      <c r="HM141" s="105"/>
      <c r="HN141" s="105"/>
      <c r="HO141" s="105"/>
      <c r="HP141" s="105"/>
      <c r="HQ141" s="105"/>
      <c r="HR141" s="105"/>
      <c r="HS141" s="105"/>
      <c r="HT141" s="105"/>
      <c r="HU141" s="105"/>
      <c r="HV141" s="105"/>
      <c r="HW141" s="105"/>
      <c r="HX141" s="105"/>
      <c r="HY141" s="105"/>
      <c r="HZ141" s="105"/>
      <c r="IA141" s="105"/>
      <c r="IB141" s="105"/>
      <c r="IC141" s="105"/>
      <c r="ID141" s="105"/>
      <c r="IE141" s="105"/>
      <c r="IF141" s="105"/>
      <c r="IG141" s="105"/>
      <c r="IH141" s="105"/>
      <c r="II141" s="105"/>
      <c r="IJ141" s="105"/>
      <c r="IK141" s="105"/>
      <c r="IL141" s="105"/>
      <c r="IM141" s="105"/>
      <c r="IN141" s="105"/>
      <c r="IO141" s="105"/>
      <c r="IP141" s="105"/>
      <c r="IQ141" s="105"/>
      <c r="IR141" s="105"/>
      <c r="IS141" s="105"/>
      <c r="IT141" s="105"/>
      <c r="IU141" s="105"/>
      <c r="IV141" s="105"/>
    </row>
    <row r="142" s="106" customFormat="1" ht="20.1" customHeight="1" spans="1:256">
      <c r="A142" s="105"/>
      <c r="B142" s="105"/>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c r="CC142" s="105"/>
      <c r="CD142" s="105"/>
      <c r="CE142" s="105"/>
      <c r="CF142" s="105"/>
      <c r="CG142" s="105"/>
      <c r="CH142" s="105"/>
      <c r="CI142" s="105"/>
      <c r="CJ142" s="105"/>
      <c r="CK142" s="105"/>
      <c r="CL142" s="105"/>
      <c r="CM142" s="105"/>
      <c r="CN142" s="105"/>
      <c r="CO142" s="105"/>
      <c r="CP142" s="105"/>
      <c r="CQ142" s="105"/>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5"/>
      <c r="EV142" s="105"/>
      <c r="EW142" s="105"/>
      <c r="EX142" s="105"/>
      <c r="EY142" s="105"/>
      <c r="EZ142" s="105"/>
      <c r="FA142" s="105"/>
      <c r="FB142" s="105"/>
      <c r="FC142" s="105"/>
      <c r="FD142" s="105"/>
      <c r="FE142" s="105"/>
      <c r="FF142" s="105"/>
      <c r="FG142" s="105"/>
      <c r="FH142" s="105"/>
      <c r="FI142" s="105"/>
      <c r="FJ142" s="105"/>
      <c r="FK142" s="105"/>
      <c r="FL142" s="105"/>
      <c r="FM142" s="105"/>
      <c r="FN142" s="105"/>
      <c r="FO142" s="105"/>
      <c r="FP142" s="105"/>
      <c r="FQ142" s="105"/>
      <c r="FR142" s="105"/>
      <c r="FS142" s="105"/>
      <c r="FT142" s="105"/>
      <c r="FU142" s="105"/>
      <c r="FV142" s="105"/>
      <c r="FW142" s="105"/>
      <c r="FX142" s="105"/>
      <c r="FY142" s="105"/>
      <c r="FZ142" s="105"/>
      <c r="GA142" s="105"/>
      <c r="GB142" s="105"/>
      <c r="GC142" s="105"/>
      <c r="GD142" s="105"/>
      <c r="GE142" s="105"/>
      <c r="GF142" s="105"/>
      <c r="GG142" s="105"/>
      <c r="GH142" s="105"/>
      <c r="GI142" s="105"/>
      <c r="GJ142" s="105"/>
      <c r="GK142" s="105"/>
      <c r="GL142" s="105"/>
      <c r="GM142" s="105"/>
      <c r="GN142" s="105"/>
      <c r="GO142" s="105"/>
      <c r="GP142" s="105"/>
      <c r="GQ142" s="105"/>
      <c r="GR142" s="105"/>
      <c r="GS142" s="105"/>
      <c r="GT142" s="105"/>
      <c r="GU142" s="105"/>
      <c r="GV142" s="105"/>
      <c r="GW142" s="105"/>
      <c r="GX142" s="105"/>
      <c r="GY142" s="105"/>
      <c r="GZ142" s="105"/>
      <c r="HA142" s="105"/>
      <c r="HB142" s="105"/>
      <c r="HC142" s="105"/>
      <c r="HD142" s="105"/>
      <c r="HE142" s="105"/>
      <c r="HF142" s="105"/>
      <c r="HG142" s="105"/>
      <c r="HH142" s="105"/>
      <c r="HI142" s="105"/>
      <c r="HJ142" s="105"/>
      <c r="HK142" s="105"/>
      <c r="HL142" s="105"/>
      <c r="HM142" s="105"/>
      <c r="HN142" s="105"/>
      <c r="HO142" s="105"/>
      <c r="HP142" s="105"/>
      <c r="HQ142" s="105"/>
      <c r="HR142" s="105"/>
      <c r="HS142" s="105"/>
      <c r="HT142" s="105"/>
      <c r="HU142" s="105"/>
      <c r="HV142" s="105"/>
      <c r="HW142" s="105"/>
      <c r="HX142" s="105"/>
      <c r="HY142" s="105"/>
      <c r="HZ142" s="105"/>
      <c r="IA142" s="105"/>
      <c r="IB142" s="105"/>
      <c r="IC142" s="105"/>
      <c r="ID142" s="105"/>
      <c r="IE142" s="105"/>
      <c r="IF142" s="105"/>
      <c r="IG142" s="105"/>
      <c r="IH142" s="105"/>
      <c r="II142" s="105"/>
      <c r="IJ142" s="105"/>
      <c r="IK142" s="105"/>
      <c r="IL142" s="105"/>
      <c r="IM142" s="105"/>
      <c r="IN142" s="105"/>
      <c r="IO142" s="105"/>
      <c r="IP142" s="105"/>
      <c r="IQ142" s="105"/>
      <c r="IR142" s="105"/>
      <c r="IS142" s="105"/>
      <c r="IT142" s="105"/>
      <c r="IU142" s="105"/>
      <c r="IV142" s="105"/>
    </row>
    <row r="143" s="106" customFormat="1" ht="20.1" customHeight="1" spans="1:256">
      <c r="A143" s="105"/>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5"/>
      <c r="DJ143" s="105"/>
      <c r="DK143" s="105"/>
      <c r="DL143" s="105"/>
      <c r="DM143" s="105"/>
      <c r="DN143" s="105"/>
      <c r="DO143" s="105"/>
      <c r="DP143" s="105"/>
      <c r="DQ143" s="105"/>
      <c r="DR143" s="105"/>
      <c r="DS143" s="105"/>
      <c r="DT143" s="105"/>
      <c r="DU143" s="105"/>
      <c r="DV143" s="105"/>
      <c r="DW143" s="105"/>
      <c r="DX143" s="105"/>
      <c r="DY143" s="105"/>
      <c r="DZ143" s="105"/>
      <c r="EA143" s="105"/>
      <c r="EB143" s="105"/>
      <c r="EC143" s="105"/>
      <c r="ED143" s="105"/>
      <c r="EE143" s="105"/>
      <c r="EF143" s="105"/>
      <c r="EG143" s="105"/>
      <c r="EH143" s="105"/>
      <c r="EI143" s="105"/>
      <c r="EJ143" s="105"/>
      <c r="EK143" s="105"/>
      <c r="EL143" s="105"/>
      <c r="EM143" s="105"/>
      <c r="EN143" s="105"/>
      <c r="EO143" s="105"/>
      <c r="EP143" s="105"/>
      <c r="EQ143" s="105"/>
      <c r="ER143" s="105"/>
      <c r="ES143" s="105"/>
      <c r="ET143" s="105"/>
      <c r="EU143" s="105"/>
      <c r="EV143" s="105"/>
      <c r="EW143" s="105"/>
      <c r="EX143" s="105"/>
      <c r="EY143" s="105"/>
      <c r="EZ143" s="105"/>
      <c r="FA143" s="105"/>
      <c r="FB143" s="105"/>
      <c r="FC143" s="105"/>
      <c r="FD143" s="105"/>
      <c r="FE143" s="105"/>
      <c r="FF143" s="105"/>
      <c r="FG143" s="105"/>
      <c r="FH143" s="105"/>
      <c r="FI143" s="105"/>
      <c r="FJ143" s="105"/>
      <c r="FK143" s="105"/>
      <c r="FL143" s="105"/>
      <c r="FM143" s="105"/>
      <c r="FN143" s="105"/>
      <c r="FO143" s="105"/>
      <c r="FP143" s="105"/>
      <c r="FQ143" s="105"/>
      <c r="FR143" s="105"/>
      <c r="FS143" s="105"/>
      <c r="FT143" s="105"/>
      <c r="FU143" s="105"/>
      <c r="FV143" s="105"/>
      <c r="FW143" s="105"/>
      <c r="FX143" s="105"/>
      <c r="FY143" s="105"/>
      <c r="FZ143" s="105"/>
      <c r="GA143" s="105"/>
      <c r="GB143" s="105"/>
      <c r="GC143" s="105"/>
      <c r="GD143" s="105"/>
      <c r="GE143" s="105"/>
      <c r="GF143" s="105"/>
      <c r="GG143" s="105"/>
      <c r="GH143" s="105"/>
      <c r="GI143" s="105"/>
      <c r="GJ143" s="105"/>
      <c r="GK143" s="105"/>
      <c r="GL143" s="105"/>
      <c r="GM143" s="105"/>
      <c r="GN143" s="105"/>
      <c r="GO143" s="105"/>
      <c r="GP143" s="105"/>
      <c r="GQ143" s="105"/>
      <c r="GR143" s="105"/>
      <c r="GS143" s="105"/>
      <c r="GT143" s="105"/>
      <c r="GU143" s="105"/>
      <c r="GV143" s="105"/>
      <c r="GW143" s="105"/>
      <c r="GX143" s="105"/>
      <c r="GY143" s="105"/>
      <c r="GZ143" s="105"/>
      <c r="HA143" s="105"/>
      <c r="HB143" s="105"/>
      <c r="HC143" s="105"/>
      <c r="HD143" s="105"/>
      <c r="HE143" s="105"/>
      <c r="HF143" s="105"/>
      <c r="HG143" s="105"/>
      <c r="HH143" s="105"/>
      <c r="HI143" s="105"/>
      <c r="HJ143" s="105"/>
      <c r="HK143" s="105"/>
      <c r="HL143" s="105"/>
      <c r="HM143" s="105"/>
      <c r="HN143" s="105"/>
      <c r="HO143" s="105"/>
      <c r="HP143" s="105"/>
      <c r="HQ143" s="105"/>
      <c r="HR143" s="105"/>
      <c r="HS143" s="105"/>
      <c r="HT143" s="105"/>
      <c r="HU143" s="105"/>
      <c r="HV143" s="105"/>
      <c r="HW143" s="105"/>
      <c r="HX143" s="105"/>
      <c r="HY143" s="105"/>
      <c r="HZ143" s="105"/>
      <c r="IA143" s="105"/>
      <c r="IB143" s="105"/>
      <c r="IC143" s="105"/>
      <c r="ID143" s="105"/>
      <c r="IE143" s="105"/>
      <c r="IF143" s="105"/>
      <c r="IG143" s="105"/>
      <c r="IH143" s="105"/>
      <c r="II143" s="105"/>
      <c r="IJ143" s="105"/>
      <c r="IK143" s="105"/>
      <c r="IL143" s="105"/>
      <c r="IM143" s="105"/>
      <c r="IN143" s="105"/>
      <c r="IO143" s="105"/>
      <c r="IP143" s="105"/>
      <c r="IQ143" s="105"/>
      <c r="IR143" s="105"/>
      <c r="IS143" s="105"/>
      <c r="IT143" s="105"/>
      <c r="IU143" s="105"/>
      <c r="IV143" s="105"/>
    </row>
    <row r="144" s="106" customFormat="1" ht="20.1" customHeight="1" spans="1:256">
      <c r="A144" s="105"/>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c r="CC144" s="105"/>
      <c r="CD144" s="105"/>
      <c r="CE144" s="105"/>
      <c r="CF144" s="105"/>
      <c r="CG144" s="105"/>
      <c r="CH144" s="105"/>
      <c r="CI144" s="105"/>
      <c r="CJ144" s="105"/>
      <c r="CK144" s="105"/>
      <c r="CL144" s="105"/>
      <c r="CM144" s="105"/>
      <c r="CN144" s="105"/>
      <c r="CO144" s="105"/>
      <c r="CP144" s="105"/>
      <c r="CQ144" s="105"/>
      <c r="CR144" s="105"/>
      <c r="CS144" s="105"/>
      <c r="CT144" s="105"/>
      <c r="CU144" s="105"/>
      <c r="CV144" s="105"/>
      <c r="CW144" s="105"/>
      <c r="CX144" s="105"/>
      <c r="CY144" s="105"/>
      <c r="CZ144" s="105"/>
      <c r="DA144" s="105"/>
      <c r="DB144" s="105"/>
      <c r="DC144" s="105"/>
      <c r="DD144" s="105"/>
      <c r="DE144" s="105"/>
      <c r="DF144" s="105"/>
      <c r="DG144" s="105"/>
      <c r="DH144" s="105"/>
      <c r="DI144" s="105"/>
      <c r="DJ144" s="105"/>
      <c r="DK144" s="105"/>
      <c r="DL144" s="105"/>
      <c r="DM144" s="105"/>
      <c r="DN144" s="105"/>
      <c r="DO144" s="105"/>
      <c r="DP144" s="105"/>
      <c r="DQ144" s="105"/>
      <c r="DR144" s="105"/>
      <c r="DS144" s="105"/>
      <c r="DT144" s="105"/>
      <c r="DU144" s="105"/>
      <c r="DV144" s="105"/>
      <c r="DW144" s="105"/>
      <c r="DX144" s="105"/>
      <c r="DY144" s="105"/>
      <c r="DZ144" s="105"/>
      <c r="EA144" s="105"/>
      <c r="EB144" s="105"/>
      <c r="EC144" s="105"/>
      <c r="ED144" s="105"/>
      <c r="EE144" s="105"/>
      <c r="EF144" s="105"/>
      <c r="EG144" s="105"/>
      <c r="EH144" s="105"/>
      <c r="EI144" s="105"/>
      <c r="EJ144" s="105"/>
      <c r="EK144" s="105"/>
      <c r="EL144" s="105"/>
      <c r="EM144" s="105"/>
      <c r="EN144" s="105"/>
      <c r="EO144" s="105"/>
      <c r="EP144" s="105"/>
      <c r="EQ144" s="105"/>
      <c r="ER144" s="105"/>
      <c r="ES144" s="105"/>
      <c r="ET144" s="105"/>
      <c r="EU144" s="105"/>
      <c r="EV144" s="105"/>
      <c r="EW144" s="105"/>
      <c r="EX144" s="105"/>
      <c r="EY144" s="105"/>
      <c r="EZ144" s="105"/>
      <c r="FA144" s="105"/>
      <c r="FB144" s="105"/>
      <c r="FC144" s="105"/>
      <c r="FD144" s="105"/>
      <c r="FE144" s="105"/>
      <c r="FF144" s="105"/>
      <c r="FG144" s="105"/>
      <c r="FH144" s="105"/>
      <c r="FI144" s="105"/>
      <c r="FJ144" s="105"/>
      <c r="FK144" s="105"/>
      <c r="FL144" s="105"/>
      <c r="FM144" s="105"/>
      <c r="FN144" s="105"/>
      <c r="FO144" s="105"/>
      <c r="FP144" s="105"/>
      <c r="FQ144" s="105"/>
      <c r="FR144" s="105"/>
      <c r="FS144" s="105"/>
      <c r="FT144" s="105"/>
      <c r="FU144" s="105"/>
      <c r="FV144" s="105"/>
      <c r="FW144" s="105"/>
      <c r="FX144" s="105"/>
      <c r="FY144" s="105"/>
      <c r="FZ144" s="105"/>
      <c r="GA144" s="105"/>
      <c r="GB144" s="105"/>
      <c r="GC144" s="105"/>
      <c r="GD144" s="105"/>
      <c r="GE144" s="105"/>
      <c r="GF144" s="105"/>
      <c r="GG144" s="105"/>
      <c r="GH144" s="105"/>
      <c r="GI144" s="105"/>
      <c r="GJ144" s="105"/>
      <c r="GK144" s="105"/>
      <c r="GL144" s="105"/>
      <c r="GM144" s="105"/>
      <c r="GN144" s="105"/>
      <c r="GO144" s="105"/>
      <c r="GP144" s="105"/>
      <c r="GQ144" s="105"/>
      <c r="GR144" s="105"/>
      <c r="GS144" s="105"/>
      <c r="GT144" s="105"/>
      <c r="GU144" s="105"/>
      <c r="GV144" s="105"/>
      <c r="GW144" s="105"/>
      <c r="GX144" s="105"/>
      <c r="GY144" s="105"/>
      <c r="GZ144" s="105"/>
      <c r="HA144" s="105"/>
      <c r="HB144" s="105"/>
      <c r="HC144" s="105"/>
      <c r="HD144" s="105"/>
      <c r="HE144" s="105"/>
      <c r="HF144" s="105"/>
      <c r="HG144" s="105"/>
      <c r="HH144" s="105"/>
      <c r="HI144" s="105"/>
      <c r="HJ144" s="105"/>
      <c r="HK144" s="105"/>
      <c r="HL144" s="105"/>
      <c r="HM144" s="105"/>
      <c r="HN144" s="105"/>
      <c r="HO144" s="105"/>
      <c r="HP144" s="105"/>
      <c r="HQ144" s="105"/>
      <c r="HR144" s="105"/>
      <c r="HS144" s="105"/>
      <c r="HT144" s="105"/>
      <c r="HU144" s="105"/>
      <c r="HV144" s="105"/>
      <c r="HW144" s="105"/>
      <c r="HX144" s="105"/>
      <c r="HY144" s="105"/>
      <c r="HZ144" s="105"/>
      <c r="IA144" s="105"/>
      <c r="IB144" s="105"/>
      <c r="IC144" s="105"/>
      <c r="ID144" s="105"/>
      <c r="IE144" s="105"/>
      <c r="IF144" s="105"/>
      <c r="IG144" s="105"/>
      <c r="IH144" s="105"/>
      <c r="II144" s="105"/>
      <c r="IJ144" s="105"/>
      <c r="IK144" s="105"/>
      <c r="IL144" s="105"/>
      <c r="IM144" s="105"/>
      <c r="IN144" s="105"/>
      <c r="IO144" s="105"/>
      <c r="IP144" s="105"/>
      <c r="IQ144" s="105"/>
      <c r="IR144" s="105"/>
      <c r="IS144" s="105"/>
      <c r="IT144" s="105"/>
      <c r="IU144" s="105"/>
      <c r="IV144" s="105"/>
    </row>
    <row r="145" s="106" customFormat="1" ht="20.1" customHeight="1" spans="1:256">
      <c r="A145" s="105"/>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c r="CD145" s="105"/>
      <c r="CE145" s="105"/>
      <c r="CF145" s="105"/>
      <c r="CG145" s="105"/>
      <c r="CH145" s="105"/>
      <c r="CI145" s="105"/>
      <c r="CJ145" s="105"/>
      <c r="CK145" s="105"/>
      <c r="CL145" s="105"/>
      <c r="CM145" s="105"/>
      <c r="CN145" s="105"/>
      <c r="CO145" s="105"/>
      <c r="CP145" s="105"/>
      <c r="CQ145" s="105"/>
      <c r="CR145" s="105"/>
      <c r="CS145" s="105"/>
      <c r="CT145" s="105"/>
      <c r="CU145" s="105"/>
      <c r="CV145" s="105"/>
      <c r="CW145" s="105"/>
      <c r="CX145" s="105"/>
      <c r="CY145" s="105"/>
      <c r="CZ145" s="105"/>
      <c r="DA145" s="105"/>
      <c r="DB145" s="105"/>
      <c r="DC145" s="105"/>
      <c r="DD145" s="105"/>
      <c r="DE145" s="105"/>
      <c r="DF145" s="105"/>
      <c r="DG145" s="105"/>
      <c r="DH145" s="105"/>
      <c r="DI145" s="105"/>
      <c r="DJ145" s="105"/>
      <c r="DK145" s="105"/>
      <c r="DL145" s="105"/>
      <c r="DM145" s="105"/>
      <c r="DN145" s="105"/>
      <c r="DO145" s="105"/>
      <c r="DP145" s="105"/>
      <c r="DQ145" s="105"/>
      <c r="DR145" s="105"/>
      <c r="DS145" s="105"/>
      <c r="DT145" s="105"/>
      <c r="DU145" s="105"/>
      <c r="DV145" s="105"/>
      <c r="DW145" s="105"/>
      <c r="DX145" s="105"/>
      <c r="DY145" s="105"/>
      <c r="DZ145" s="105"/>
      <c r="EA145" s="105"/>
      <c r="EB145" s="105"/>
      <c r="EC145" s="105"/>
      <c r="ED145" s="105"/>
      <c r="EE145" s="105"/>
      <c r="EF145" s="105"/>
      <c r="EG145" s="105"/>
      <c r="EH145" s="105"/>
      <c r="EI145" s="105"/>
      <c r="EJ145" s="105"/>
      <c r="EK145" s="105"/>
      <c r="EL145" s="105"/>
      <c r="EM145" s="105"/>
      <c r="EN145" s="105"/>
      <c r="EO145" s="105"/>
      <c r="EP145" s="105"/>
      <c r="EQ145" s="105"/>
      <c r="ER145" s="105"/>
      <c r="ES145" s="105"/>
      <c r="ET145" s="105"/>
      <c r="EU145" s="105"/>
      <c r="EV145" s="105"/>
      <c r="EW145" s="105"/>
      <c r="EX145" s="105"/>
      <c r="EY145" s="105"/>
      <c r="EZ145" s="105"/>
      <c r="FA145" s="105"/>
      <c r="FB145" s="105"/>
      <c r="FC145" s="105"/>
      <c r="FD145" s="105"/>
      <c r="FE145" s="105"/>
      <c r="FF145" s="105"/>
      <c r="FG145" s="105"/>
      <c r="FH145" s="105"/>
      <c r="FI145" s="105"/>
      <c r="FJ145" s="105"/>
      <c r="FK145" s="105"/>
      <c r="FL145" s="105"/>
      <c r="FM145" s="105"/>
      <c r="FN145" s="105"/>
      <c r="FO145" s="105"/>
      <c r="FP145" s="105"/>
      <c r="FQ145" s="105"/>
      <c r="FR145" s="105"/>
      <c r="FS145" s="105"/>
      <c r="FT145" s="105"/>
      <c r="FU145" s="105"/>
      <c r="FV145" s="105"/>
      <c r="FW145" s="105"/>
      <c r="FX145" s="105"/>
      <c r="FY145" s="105"/>
      <c r="FZ145" s="105"/>
      <c r="GA145" s="105"/>
      <c r="GB145" s="105"/>
      <c r="GC145" s="105"/>
      <c r="GD145" s="105"/>
      <c r="GE145" s="105"/>
      <c r="GF145" s="105"/>
      <c r="GG145" s="105"/>
      <c r="GH145" s="105"/>
      <c r="GI145" s="105"/>
      <c r="GJ145" s="105"/>
      <c r="GK145" s="105"/>
      <c r="GL145" s="105"/>
      <c r="GM145" s="105"/>
      <c r="GN145" s="105"/>
      <c r="GO145" s="105"/>
      <c r="GP145" s="105"/>
      <c r="GQ145" s="105"/>
      <c r="GR145" s="105"/>
      <c r="GS145" s="105"/>
      <c r="GT145" s="105"/>
      <c r="GU145" s="105"/>
      <c r="GV145" s="105"/>
      <c r="GW145" s="105"/>
      <c r="GX145" s="105"/>
      <c r="GY145" s="105"/>
      <c r="GZ145" s="105"/>
      <c r="HA145" s="105"/>
      <c r="HB145" s="105"/>
      <c r="HC145" s="105"/>
      <c r="HD145" s="105"/>
      <c r="HE145" s="105"/>
      <c r="HF145" s="105"/>
      <c r="HG145" s="105"/>
      <c r="HH145" s="105"/>
      <c r="HI145" s="105"/>
      <c r="HJ145" s="105"/>
      <c r="HK145" s="105"/>
      <c r="HL145" s="105"/>
      <c r="HM145" s="105"/>
      <c r="HN145" s="105"/>
      <c r="HO145" s="105"/>
      <c r="HP145" s="105"/>
      <c r="HQ145" s="105"/>
      <c r="HR145" s="105"/>
      <c r="HS145" s="105"/>
      <c r="HT145" s="105"/>
      <c r="HU145" s="105"/>
      <c r="HV145" s="105"/>
      <c r="HW145" s="105"/>
      <c r="HX145" s="105"/>
      <c r="HY145" s="105"/>
      <c r="HZ145" s="105"/>
      <c r="IA145" s="105"/>
      <c r="IB145" s="105"/>
      <c r="IC145" s="105"/>
      <c r="ID145" s="105"/>
      <c r="IE145" s="105"/>
      <c r="IF145" s="105"/>
      <c r="IG145" s="105"/>
      <c r="IH145" s="105"/>
      <c r="II145" s="105"/>
      <c r="IJ145" s="105"/>
      <c r="IK145" s="105"/>
      <c r="IL145" s="105"/>
      <c r="IM145" s="105"/>
      <c r="IN145" s="105"/>
      <c r="IO145" s="105"/>
      <c r="IP145" s="105"/>
      <c r="IQ145" s="105"/>
      <c r="IR145" s="105"/>
      <c r="IS145" s="105"/>
      <c r="IT145" s="105"/>
      <c r="IU145" s="105"/>
      <c r="IV145" s="105"/>
    </row>
    <row r="146" s="106" customFormat="1" ht="20.1" customHeight="1" spans="1:256">
      <c r="A146" s="105"/>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c r="CD146" s="105"/>
      <c r="CE146" s="105"/>
      <c r="CF146" s="105"/>
      <c r="CG146" s="105"/>
      <c r="CH146" s="105"/>
      <c r="CI146" s="105"/>
      <c r="CJ146" s="105"/>
      <c r="CK146" s="105"/>
      <c r="CL146" s="105"/>
      <c r="CM146" s="105"/>
      <c r="CN146" s="105"/>
      <c r="CO146" s="105"/>
      <c r="CP146" s="105"/>
      <c r="CQ146" s="105"/>
      <c r="CR146" s="105"/>
      <c r="CS146" s="105"/>
      <c r="CT146" s="105"/>
      <c r="CU146" s="105"/>
      <c r="CV146" s="105"/>
      <c r="CW146" s="105"/>
      <c r="CX146" s="105"/>
      <c r="CY146" s="105"/>
      <c r="CZ146" s="105"/>
      <c r="DA146" s="105"/>
      <c r="DB146" s="105"/>
      <c r="DC146" s="105"/>
      <c r="DD146" s="105"/>
      <c r="DE146" s="105"/>
      <c r="DF146" s="105"/>
      <c r="DG146" s="105"/>
      <c r="DH146" s="105"/>
      <c r="DI146" s="105"/>
      <c r="DJ146" s="105"/>
      <c r="DK146" s="105"/>
      <c r="DL146" s="105"/>
      <c r="DM146" s="105"/>
      <c r="DN146" s="105"/>
      <c r="DO146" s="105"/>
      <c r="DP146" s="105"/>
      <c r="DQ146" s="105"/>
      <c r="DR146" s="105"/>
      <c r="DS146" s="105"/>
      <c r="DT146" s="105"/>
      <c r="DU146" s="105"/>
      <c r="DV146" s="105"/>
      <c r="DW146" s="105"/>
      <c r="DX146" s="105"/>
      <c r="DY146" s="105"/>
      <c r="DZ146" s="105"/>
      <c r="EA146" s="105"/>
      <c r="EB146" s="105"/>
      <c r="EC146" s="105"/>
      <c r="ED146" s="105"/>
      <c r="EE146" s="105"/>
      <c r="EF146" s="105"/>
      <c r="EG146" s="105"/>
      <c r="EH146" s="105"/>
      <c r="EI146" s="105"/>
      <c r="EJ146" s="105"/>
      <c r="EK146" s="105"/>
      <c r="EL146" s="105"/>
      <c r="EM146" s="105"/>
      <c r="EN146" s="105"/>
      <c r="EO146" s="105"/>
      <c r="EP146" s="105"/>
      <c r="EQ146" s="105"/>
      <c r="ER146" s="105"/>
      <c r="ES146" s="105"/>
      <c r="ET146" s="105"/>
      <c r="EU146" s="105"/>
      <c r="EV146" s="105"/>
      <c r="EW146" s="105"/>
      <c r="EX146" s="105"/>
      <c r="EY146" s="105"/>
      <c r="EZ146" s="105"/>
      <c r="FA146" s="105"/>
      <c r="FB146" s="105"/>
      <c r="FC146" s="105"/>
      <c r="FD146" s="105"/>
      <c r="FE146" s="105"/>
      <c r="FF146" s="105"/>
      <c r="FG146" s="105"/>
      <c r="FH146" s="105"/>
      <c r="FI146" s="105"/>
      <c r="FJ146" s="105"/>
      <c r="FK146" s="105"/>
      <c r="FL146" s="105"/>
      <c r="FM146" s="105"/>
      <c r="FN146" s="105"/>
      <c r="FO146" s="105"/>
      <c r="FP146" s="105"/>
      <c r="FQ146" s="105"/>
      <c r="FR146" s="105"/>
      <c r="FS146" s="105"/>
      <c r="FT146" s="105"/>
      <c r="FU146" s="105"/>
      <c r="FV146" s="105"/>
      <c r="FW146" s="105"/>
      <c r="FX146" s="105"/>
      <c r="FY146" s="105"/>
      <c r="FZ146" s="105"/>
      <c r="GA146" s="105"/>
      <c r="GB146" s="105"/>
      <c r="GC146" s="105"/>
      <c r="GD146" s="105"/>
      <c r="GE146" s="105"/>
      <c r="GF146" s="105"/>
      <c r="GG146" s="105"/>
      <c r="GH146" s="105"/>
      <c r="GI146" s="105"/>
      <c r="GJ146" s="105"/>
      <c r="GK146" s="105"/>
      <c r="GL146" s="105"/>
      <c r="GM146" s="105"/>
      <c r="GN146" s="105"/>
      <c r="GO146" s="105"/>
      <c r="GP146" s="105"/>
      <c r="GQ146" s="105"/>
      <c r="GR146" s="105"/>
      <c r="GS146" s="105"/>
      <c r="GT146" s="105"/>
      <c r="GU146" s="105"/>
      <c r="GV146" s="105"/>
      <c r="GW146" s="105"/>
      <c r="GX146" s="105"/>
      <c r="GY146" s="105"/>
      <c r="GZ146" s="105"/>
      <c r="HA146" s="105"/>
      <c r="HB146" s="105"/>
      <c r="HC146" s="105"/>
      <c r="HD146" s="105"/>
      <c r="HE146" s="105"/>
      <c r="HF146" s="105"/>
      <c r="HG146" s="105"/>
      <c r="HH146" s="105"/>
      <c r="HI146" s="105"/>
      <c r="HJ146" s="105"/>
      <c r="HK146" s="105"/>
      <c r="HL146" s="105"/>
      <c r="HM146" s="105"/>
      <c r="HN146" s="105"/>
      <c r="HO146" s="105"/>
      <c r="HP146" s="105"/>
      <c r="HQ146" s="105"/>
      <c r="HR146" s="105"/>
      <c r="HS146" s="105"/>
      <c r="HT146" s="105"/>
      <c r="HU146" s="105"/>
      <c r="HV146" s="105"/>
      <c r="HW146" s="105"/>
      <c r="HX146" s="105"/>
      <c r="HY146" s="105"/>
      <c r="HZ146" s="105"/>
      <c r="IA146" s="105"/>
      <c r="IB146" s="105"/>
      <c r="IC146" s="105"/>
      <c r="ID146" s="105"/>
      <c r="IE146" s="105"/>
      <c r="IF146" s="105"/>
      <c r="IG146" s="105"/>
      <c r="IH146" s="105"/>
      <c r="II146" s="105"/>
      <c r="IJ146" s="105"/>
      <c r="IK146" s="105"/>
      <c r="IL146" s="105"/>
      <c r="IM146" s="105"/>
      <c r="IN146" s="105"/>
      <c r="IO146" s="105"/>
      <c r="IP146" s="105"/>
      <c r="IQ146" s="105"/>
      <c r="IR146" s="105"/>
      <c r="IS146" s="105"/>
      <c r="IT146" s="105"/>
      <c r="IU146" s="105"/>
      <c r="IV146" s="105"/>
    </row>
    <row r="147" s="106" customFormat="1" ht="20.1" customHeight="1" spans="1:256">
      <c r="A147" s="105"/>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05"/>
      <c r="FP147" s="105"/>
      <c r="FQ147" s="105"/>
      <c r="FR147" s="105"/>
      <c r="FS147" s="105"/>
      <c r="FT147" s="105"/>
      <c r="FU147" s="105"/>
      <c r="FV147" s="105"/>
      <c r="FW147" s="105"/>
      <c r="FX147" s="105"/>
      <c r="FY147" s="105"/>
      <c r="FZ147" s="105"/>
      <c r="GA147" s="105"/>
      <c r="GB147" s="105"/>
      <c r="GC147" s="105"/>
      <c r="GD147" s="105"/>
      <c r="GE147" s="105"/>
      <c r="GF147" s="105"/>
      <c r="GG147" s="105"/>
      <c r="GH147" s="105"/>
      <c r="GI147" s="105"/>
      <c r="GJ147" s="105"/>
      <c r="GK147" s="105"/>
      <c r="GL147" s="105"/>
      <c r="GM147" s="105"/>
      <c r="GN147" s="105"/>
      <c r="GO147" s="105"/>
      <c r="GP147" s="105"/>
      <c r="GQ147" s="105"/>
      <c r="GR147" s="105"/>
      <c r="GS147" s="105"/>
      <c r="GT147" s="105"/>
      <c r="GU147" s="105"/>
      <c r="GV147" s="105"/>
      <c r="GW147" s="105"/>
      <c r="GX147" s="105"/>
      <c r="GY147" s="105"/>
      <c r="GZ147" s="105"/>
      <c r="HA147" s="105"/>
      <c r="HB147" s="105"/>
      <c r="HC147" s="105"/>
      <c r="HD147" s="105"/>
      <c r="HE147" s="105"/>
      <c r="HF147" s="105"/>
      <c r="HG147" s="105"/>
      <c r="HH147" s="105"/>
      <c r="HI147" s="105"/>
      <c r="HJ147" s="105"/>
      <c r="HK147" s="105"/>
      <c r="HL147" s="105"/>
      <c r="HM147" s="105"/>
      <c r="HN147" s="105"/>
      <c r="HO147" s="105"/>
      <c r="HP147" s="105"/>
      <c r="HQ147" s="105"/>
      <c r="HR147" s="105"/>
      <c r="HS147" s="105"/>
      <c r="HT147" s="105"/>
      <c r="HU147" s="105"/>
      <c r="HV147" s="105"/>
      <c r="HW147" s="105"/>
      <c r="HX147" s="105"/>
      <c r="HY147" s="105"/>
      <c r="HZ147" s="105"/>
      <c r="IA147" s="105"/>
      <c r="IB147" s="105"/>
      <c r="IC147" s="105"/>
      <c r="ID147" s="105"/>
      <c r="IE147" s="105"/>
      <c r="IF147" s="105"/>
      <c r="IG147" s="105"/>
      <c r="IH147" s="105"/>
      <c r="II147" s="105"/>
      <c r="IJ147" s="105"/>
      <c r="IK147" s="105"/>
      <c r="IL147" s="105"/>
      <c r="IM147" s="105"/>
      <c r="IN147" s="105"/>
      <c r="IO147" s="105"/>
      <c r="IP147" s="105"/>
      <c r="IQ147" s="105"/>
      <c r="IR147" s="105"/>
      <c r="IS147" s="105"/>
      <c r="IT147" s="105"/>
      <c r="IU147" s="105"/>
      <c r="IV147" s="105"/>
    </row>
    <row r="148" s="106" customFormat="1" ht="20.1" customHeight="1" spans="1:256">
      <c r="A148" s="105"/>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05"/>
      <c r="FP148" s="105"/>
      <c r="FQ148" s="105"/>
      <c r="FR148" s="105"/>
      <c r="FS148" s="105"/>
      <c r="FT148" s="105"/>
      <c r="FU148" s="105"/>
      <c r="FV148" s="105"/>
      <c r="FW148" s="105"/>
      <c r="FX148" s="105"/>
      <c r="FY148" s="105"/>
      <c r="FZ148" s="105"/>
      <c r="GA148" s="105"/>
      <c r="GB148" s="105"/>
      <c r="GC148" s="105"/>
      <c r="GD148" s="105"/>
      <c r="GE148" s="105"/>
      <c r="GF148" s="105"/>
      <c r="GG148" s="105"/>
      <c r="GH148" s="105"/>
      <c r="GI148" s="105"/>
      <c r="GJ148" s="105"/>
      <c r="GK148" s="105"/>
      <c r="GL148" s="105"/>
      <c r="GM148" s="105"/>
      <c r="GN148" s="105"/>
      <c r="GO148" s="105"/>
      <c r="GP148" s="105"/>
      <c r="GQ148" s="105"/>
      <c r="GR148" s="105"/>
      <c r="GS148" s="105"/>
      <c r="GT148" s="105"/>
      <c r="GU148" s="105"/>
      <c r="GV148" s="105"/>
      <c r="GW148" s="105"/>
      <c r="GX148" s="105"/>
      <c r="GY148" s="105"/>
      <c r="GZ148" s="105"/>
      <c r="HA148" s="105"/>
      <c r="HB148" s="105"/>
      <c r="HC148" s="105"/>
      <c r="HD148" s="105"/>
      <c r="HE148" s="105"/>
      <c r="HF148" s="105"/>
      <c r="HG148" s="105"/>
      <c r="HH148" s="105"/>
      <c r="HI148" s="105"/>
      <c r="HJ148" s="105"/>
      <c r="HK148" s="105"/>
      <c r="HL148" s="105"/>
      <c r="HM148" s="105"/>
      <c r="HN148" s="105"/>
      <c r="HO148" s="105"/>
      <c r="HP148" s="105"/>
      <c r="HQ148" s="105"/>
      <c r="HR148" s="105"/>
      <c r="HS148" s="105"/>
      <c r="HT148" s="105"/>
      <c r="HU148" s="105"/>
      <c r="HV148" s="105"/>
      <c r="HW148" s="105"/>
      <c r="HX148" s="105"/>
      <c r="HY148" s="105"/>
      <c r="HZ148" s="105"/>
      <c r="IA148" s="105"/>
      <c r="IB148" s="105"/>
      <c r="IC148" s="105"/>
      <c r="ID148" s="105"/>
      <c r="IE148" s="105"/>
      <c r="IF148" s="105"/>
      <c r="IG148" s="105"/>
      <c r="IH148" s="105"/>
      <c r="II148" s="105"/>
      <c r="IJ148" s="105"/>
      <c r="IK148" s="105"/>
      <c r="IL148" s="105"/>
      <c r="IM148" s="105"/>
      <c r="IN148" s="105"/>
      <c r="IO148" s="105"/>
      <c r="IP148" s="105"/>
      <c r="IQ148" s="105"/>
      <c r="IR148" s="105"/>
      <c r="IS148" s="105"/>
      <c r="IT148" s="105"/>
      <c r="IU148" s="105"/>
      <c r="IV148" s="105"/>
    </row>
    <row r="149" s="106" customFormat="1" ht="20.1" customHeight="1" spans="1:256">
      <c r="A149" s="10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c r="CC149" s="105"/>
      <c r="CD149" s="105"/>
      <c r="CE149" s="105"/>
      <c r="CF149" s="105"/>
      <c r="CG149" s="105"/>
      <c r="CH149" s="105"/>
      <c r="CI149" s="105"/>
      <c r="CJ149" s="105"/>
      <c r="CK149" s="105"/>
      <c r="CL149" s="105"/>
      <c r="CM149" s="105"/>
      <c r="CN149" s="105"/>
      <c r="CO149" s="105"/>
      <c r="CP149" s="105"/>
      <c r="CQ149" s="105"/>
      <c r="CR149" s="105"/>
      <c r="CS149" s="105"/>
      <c r="CT149" s="105"/>
      <c r="CU149" s="105"/>
      <c r="CV149" s="105"/>
      <c r="CW149" s="105"/>
      <c r="CX149" s="105"/>
      <c r="CY149" s="105"/>
      <c r="CZ149" s="105"/>
      <c r="DA149" s="105"/>
      <c r="DB149" s="105"/>
      <c r="DC149" s="105"/>
      <c r="DD149" s="105"/>
      <c r="DE149" s="105"/>
      <c r="DF149" s="105"/>
      <c r="DG149" s="105"/>
      <c r="DH149" s="105"/>
      <c r="DI149" s="105"/>
      <c r="DJ149" s="105"/>
      <c r="DK149" s="105"/>
      <c r="DL149" s="105"/>
      <c r="DM149" s="105"/>
      <c r="DN149" s="105"/>
      <c r="DO149" s="105"/>
      <c r="DP149" s="105"/>
      <c r="DQ149" s="105"/>
      <c r="DR149" s="105"/>
      <c r="DS149" s="105"/>
      <c r="DT149" s="105"/>
      <c r="DU149" s="105"/>
      <c r="DV149" s="105"/>
      <c r="DW149" s="105"/>
      <c r="DX149" s="105"/>
      <c r="DY149" s="105"/>
      <c r="DZ149" s="105"/>
      <c r="EA149" s="105"/>
      <c r="EB149" s="105"/>
      <c r="EC149" s="105"/>
      <c r="ED149" s="105"/>
      <c r="EE149" s="105"/>
      <c r="EF149" s="105"/>
      <c r="EG149" s="105"/>
      <c r="EH149" s="105"/>
      <c r="EI149" s="105"/>
      <c r="EJ149" s="105"/>
      <c r="EK149" s="105"/>
      <c r="EL149" s="105"/>
      <c r="EM149" s="105"/>
      <c r="EN149" s="105"/>
      <c r="EO149" s="105"/>
      <c r="EP149" s="105"/>
      <c r="EQ149" s="105"/>
      <c r="ER149" s="105"/>
      <c r="ES149" s="105"/>
      <c r="ET149" s="105"/>
      <c r="EU149" s="105"/>
      <c r="EV149" s="105"/>
      <c r="EW149" s="105"/>
      <c r="EX149" s="105"/>
      <c r="EY149" s="105"/>
      <c r="EZ149" s="105"/>
      <c r="FA149" s="105"/>
      <c r="FB149" s="105"/>
      <c r="FC149" s="105"/>
      <c r="FD149" s="105"/>
      <c r="FE149" s="105"/>
      <c r="FF149" s="105"/>
      <c r="FG149" s="105"/>
      <c r="FH149" s="105"/>
      <c r="FI149" s="105"/>
      <c r="FJ149" s="105"/>
      <c r="FK149" s="105"/>
      <c r="FL149" s="105"/>
      <c r="FM149" s="105"/>
      <c r="FN149" s="105"/>
      <c r="FO149" s="105"/>
      <c r="FP149" s="105"/>
      <c r="FQ149" s="105"/>
      <c r="FR149" s="105"/>
      <c r="FS149" s="105"/>
      <c r="FT149" s="105"/>
      <c r="FU149" s="105"/>
      <c r="FV149" s="105"/>
      <c r="FW149" s="105"/>
      <c r="FX149" s="105"/>
      <c r="FY149" s="105"/>
      <c r="FZ149" s="105"/>
      <c r="GA149" s="105"/>
      <c r="GB149" s="105"/>
      <c r="GC149" s="105"/>
      <c r="GD149" s="105"/>
      <c r="GE149" s="105"/>
      <c r="GF149" s="105"/>
      <c r="GG149" s="105"/>
      <c r="GH149" s="105"/>
      <c r="GI149" s="105"/>
      <c r="GJ149" s="105"/>
      <c r="GK149" s="105"/>
      <c r="GL149" s="105"/>
      <c r="GM149" s="105"/>
      <c r="GN149" s="105"/>
      <c r="GO149" s="105"/>
      <c r="GP149" s="105"/>
      <c r="GQ149" s="105"/>
      <c r="GR149" s="105"/>
      <c r="GS149" s="105"/>
      <c r="GT149" s="105"/>
      <c r="GU149" s="105"/>
      <c r="GV149" s="105"/>
      <c r="GW149" s="105"/>
      <c r="GX149" s="105"/>
      <c r="GY149" s="105"/>
      <c r="GZ149" s="105"/>
      <c r="HA149" s="105"/>
      <c r="HB149" s="105"/>
      <c r="HC149" s="105"/>
      <c r="HD149" s="105"/>
      <c r="HE149" s="105"/>
      <c r="HF149" s="105"/>
      <c r="HG149" s="105"/>
      <c r="HH149" s="105"/>
      <c r="HI149" s="105"/>
      <c r="HJ149" s="105"/>
      <c r="HK149" s="105"/>
      <c r="HL149" s="105"/>
      <c r="HM149" s="105"/>
      <c r="HN149" s="105"/>
      <c r="HO149" s="105"/>
      <c r="HP149" s="105"/>
      <c r="HQ149" s="105"/>
      <c r="HR149" s="105"/>
      <c r="HS149" s="105"/>
      <c r="HT149" s="105"/>
      <c r="HU149" s="105"/>
      <c r="HV149" s="105"/>
      <c r="HW149" s="105"/>
      <c r="HX149" s="105"/>
      <c r="HY149" s="105"/>
      <c r="HZ149" s="105"/>
      <c r="IA149" s="105"/>
      <c r="IB149" s="105"/>
      <c r="IC149" s="105"/>
      <c r="ID149" s="105"/>
      <c r="IE149" s="105"/>
      <c r="IF149" s="105"/>
      <c r="IG149" s="105"/>
      <c r="IH149" s="105"/>
      <c r="II149" s="105"/>
      <c r="IJ149" s="105"/>
      <c r="IK149" s="105"/>
      <c r="IL149" s="105"/>
      <c r="IM149" s="105"/>
      <c r="IN149" s="105"/>
      <c r="IO149" s="105"/>
      <c r="IP149" s="105"/>
      <c r="IQ149" s="105"/>
      <c r="IR149" s="105"/>
      <c r="IS149" s="105"/>
      <c r="IT149" s="105"/>
      <c r="IU149" s="105"/>
      <c r="IV149" s="105"/>
    </row>
    <row r="150" s="106" customFormat="1" ht="20.1" customHeight="1" spans="1:256">
      <c r="A150" s="105"/>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c r="CC150" s="105"/>
      <c r="CD150" s="105"/>
      <c r="CE150" s="105"/>
      <c r="CF150" s="105"/>
      <c r="CG150" s="105"/>
      <c r="CH150" s="105"/>
      <c r="CI150" s="105"/>
      <c r="CJ150" s="105"/>
      <c r="CK150" s="105"/>
      <c r="CL150" s="105"/>
      <c r="CM150" s="105"/>
      <c r="CN150" s="105"/>
      <c r="CO150" s="105"/>
      <c r="CP150" s="105"/>
      <c r="CQ150" s="105"/>
      <c r="CR150" s="105"/>
      <c r="CS150" s="105"/>
      <c r="CT150" s="105"/>
      <c r="CU150" s="105"/>
      <c r="CV150" s="105"/>
      <c r="CW150" s="105"/>
      <c r="CX150" s="105"/>
      <c r="CY150" s="105"/>
      <c r="CZ150" s="105"/>
      <c r="DA150" s="105"/>
      <c r="DB150" s="105"/>
      <c r="DC150" s="105"/>
      <c r="DD150" s="105"/>
      <c r="DE150" s="105"/>
      <c r="DF150" s="105"/>
      <c r="DG150" s="105"/>
      <c r="DH150" s="105"/>
      <c r="DI150" s="105"/>
      <c r="DJ150" s="105"/>
      <c r="DK150" s="105"/>
      <c r="DL150" s="105"/>
      <c r="DM150" s="105"/>
      <c r="DN150" s="105"/>
      <c r="DO150" s="105"/>
      <c r="DP150" s="105"/>
      <c r="DQ150" s="105"/>
      <c r="DR150" s="105"/>
      <c r="DS150" s="105"/>
      <c r="DT150" s="105"/>
      <c r="DU150" s="105"/>
      <c r="DV150" s="105"/>
      <c r="DW150" s="105"/>
      <c r="DX150" s="105"/>
      <c r="DY150" s="105"/>
      <c r="DZ150" s="105"/>
      <c r="EA150" s="105"/>
      <c r="EB150" s="105"/>
      <c r="EC150" s="105"/>
      <c r="ED150" s="105"/>
      <c r="EE150" s="105"/>
      <c r="EF150" s="105"/>
      <c r="EG150" s="105"/>
      <c r="EH150" s="105"/>
      <c r="EI150" s="105"/>
      <c r="EJ150" s="105"/>
      <c r="EK150" s="105"/>
      <c r="EL150" s="105"/>
      <c r="EM150" s="105"/>
      <c r="EN150" s="105"/>
      <c r="EO150" s="105"/>
      <c r="EP150" s="105"/>
      <c r="EQ150" s="105"/>
      <c r="ER150" s="105"/>
      <c r="ES150" s="105"/>
      <c r="ET150" s="105"/>
      <c r="EU150" s="105"/>
      <c r="EV150" s="105"/>
      <c r="EW150" s="105"/>
      <c r="EX150" s="105"/>
      <c r="EY150" s="105"/>
      <c r="EZ150" s="105"/>
      <c r="FA150" s="105"/>
      <c r="FB150" s="105"/>
      <c r="FC150" s="105"/>
      <c r="FD150" s="105"/>
      <c r="FE150" s="105"/>
      <c r="FF150" s="105"/>
      <c r="FG150" s="105"/>
      <c r="FH150" s="105"/>
      <c r="FI150" s="105"/>
      <c r="FJ150" s="105"/>
      <c r="FK150" s="105"/>
      <c r="FL150" s="105"/>
      <c r="FM150" s="105"/>
      <c r="FN150" s="105"/>
      <c r="FO150" s="105"/>
      <c r="FP150" s="105"/>
      <c r="FQ150" s="105"/>
      <c r="FR150" s="105"/>
      <c r="FS150" s="105"/>
      <c r="FT150" s="105"/>
      <c r="FU150" s="105"/>
      <c r="FV150" s="105"/>
      <c r="FW150" s="105"/>
      <c r="FX150" s="105"/>
      <c r="FY150" s="105"/>
      <c r="FZ150" s="105"/>
      <c r="GA150" s="105"/>
      <c r="GB150" s="105"/>
      <c r="GC150" s="105"/>
      <c r="GD150" s="105"/>
      <c r="GE150" s="105"/>
      <c r="GF150" s="105"/>
      <c r="GG150" s="105"/>
      <c r="GH150" s="105"/>
      <c r="GI150" s="105"/>
      <c r="GJ150" s="105"/>
      <c r="GK150" s="105"/>
      <c r="GL150" s="105"/>
      <c r="GM150" s="105"/>
      <c r="GN150" s="105"/>
      <c r="GO150" s="105"/>
      <c r="GP150" s="105"/>
      <c r="GQ150" s="105"/>
      <c r="GR150" s="105"/>
      <c r="GS150" s="105"/>
      <c r="GT150" s="105"/>
      <c r="GU150" s="105"/>
      <c r="GV150" s="105"/>
      <c r="GW150" s="105"/>
      <c r="GX150" s="105"/>
      <c r="GY150" s="105"/>
      <c r="GZ150" s="105"/>
      <c r="HA150" s="105"/>
      <c r="HB150" s="105"/>
      <c r="HC150" s="105"/>
      <c r="HD150" s="105"/>
      <c r="HE150" s="105"/>
      <c r="HF150" s="105"/>
      <c r="HG150" s="105"/>
      <c r="HH150" s="105"/>
      <c r="HI150" s="105"/>
      <c r="HJ150" s="105"/>
      <c r="HK150" s="105"/>
      <c r="HL150" s="105"/>
      <c r="HM150" s="105"/>
      <c r="HN150" s="105"/>
      <c r="HO150" s="105"/>
      <c r="HP150" s="105"/>
      <c r="HQ150" s="105"/>
      <c r="HR150" s="105"/>
      <c r="HS150" s="105"/>
      <c r="HT150" s="105"/>
      <c r="HU150" s="105"/>
      <c r="HV150" s="105"/>
      <c r="HW150" s="105"/>
      <c r="HX150" s="105"/>
      <c r="HY150" s="105"/>
      <c r="HZ150" s="105"/>
      <c r="IA150" s="105"/>
      <c r="IB150" s="105"/>
      <c r="IC150" s="105"/>
      <c r="ID150" s="105"/>
      <c r="IE150" s="105"/>
      <c r="IF150" s="105"/>
      <c r="IG150" s="105"/>
      <c r="IH150" s="105"/>
      <c r="II150" s="105"/>
      <c r="IJ150" s="105"/>
      <c r="IK150" s="105"/>
      <c r="IL150" s="105"/>
      <c r="IM150" s="105"/>
      <c r="IN150" s="105"/>
      <c r="IO150" s="105"/>
      <c r="IP150" s="105"/>
      <c r="IQ150" s="105"/>
      <c r="IR150" s="105"/>
      <c r="IS150" s="105"/>
      <c r="IT150" s="105"/>
      <c r="IU150" s="105"/>
      <c r="IV150" s="105"/>
    </row>
    <row r="151" s="106" customFormat="1" ht="20.1" customHeight="1" spans="1:256">
      <c r="A151" s="105"/>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5"/>
      <c r="DJ151" s="105"/>
      <c r="DK151" s="105"/>
      <c r="DL151" s="105"/>
      <c r="DM151" s="105"/>
      <c r="DN151" s="105"/>
      <c r="DO151" s="105"/>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c r="FH151" s="105"/>
      <c r="FI151" s="105"/>
      <c r="FJ151" s="105"/>
      <c r="FK151" s="105"/>
      <c r="FL151" s="105"/>
      <c r="FM151" s="105"/>
      <c r="FN151" s="105"/>
      <c r="FO151" s="105"/>
      <c r="FP151" s="105"/>
      <c r="FQ151" s="105"/>
      <c r="FR151" s="105"/>
      <c r="FS151" s="105"/>
      <c r="FT151" s="105"/>
      <c r="FU151" s="105"/>
      <c r="FV151" s="105"/>
      <c r="FW151" s="105"/>
      <c r="FX151" s="105"/>
      <c r="FY151" s="105"/>
      <c r="FZ151" s="105"/>
      <c r="GA151" s="105"/>
      <c r="GB151" s="105"/>
      <c r="GC151" s="105"/>
      <c r="GD151" s="105"/>
      <c r="GE151" s="105"/>
      <c r="GF151" s="105"/>
      <c r="GG151" s="105"/>
      <c r="GH151" s="105"/>
      <c r="GI151" s="105"/>
      <c r="GJ151" s="105"/>
      <c r="GK151" s="105"/>
      <c r="GL151" s="105"/>
      <c r="GM151" s="105"/>
      <c r="GN151" s="105"/>
      <c r="GO151" s="105"/>
      <c r="GP151" s="105"/>
      <c r="GQ151" s="105"/>
      <c r="GR151" s="105"/>
      <c r="GS151" s="105"/>
      <c r="GT151" s="105"/>
      <c r="GU151" s="105"/>
      <c r="GV151" s="105"/>
      <c r="GW151" s="105"/>
      <c r="GX151" s="105"/>
      <c r="GY151" s="105"/>
      <c r="GZ151" s="105"/>
      <c r="HA151" s="105"/>
      <c r="HB151" s="105"/>
      <c r="HC151" s="105"/>
      <c r="HD151" s="105"/>
      <c r="HE151" s="105"/>
      <c r="HF151" s="105"/>
      <c r="HG151" s="105"/>
      <c r="HH151" s="105"/>
      <c r="HI151" s="105"/>
      <c r="HJ151" s="105"/>
      <c r="HK151" s="105"/>
      <c r="HL151" s="105"/>
      <c r="HM151" s="105"/>
      <c r="HN151" s="105"/>
      <c r="HO151" s="105"/>
      <c r="HP151" s="105"/>
      <c r="HQ151" s="105"/>
      <c r="HR151" s="105"/>
      <c r="HS151" s="105"/>
      <c r="HT151" s="105"/>
      <c r="HU151" s="105"/>
      <c r="HV151" s="105"/>
      <c r="HW151" s="105"/>
      <c r="HX151" s="105"/>
      <c r="HY151" s="105"/>
      <c r="HZ151" s="105"/>
      <c r="IA151" s="105"/>
      <c r="IB151" s="105"/>
      <c r="IC151" s="105"/>
      <c r="ID151" s="105"/>
      <c r="IE151" s="105"/>
      <c r="IF151" s="105"/>
      <c r="IG151" s="105"/>
      <c r="IH151" s="105"/>
      <c r="II151" s="105"/>
      <c r="IJ151" s="105"/>
      <c r="IK151" s="105"/>
      <c r="IL151" s="105"/>
      <c r="IM151" s="105"/>
      <c r="IN151" s="105"/>
      <c r="IO151" s="105"/>
      <c r="IP151" s="105"/>
      <c r="IQ151" s="105"/>
      <c r="IR151" s="105"/>
      <c r="IS151" s="105"/>
      <c r="IT151" s="105"/>
      <c r="IU151" s="105"/>
      <c r="IV151" s="105"/>
    </row>
    <row r="152" s="106" customFormat="1" ht="20.1" customHeight="1" spans="1:256">
      <c r="A152" s="105"/>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5"/>
      <c r="DJ152" s="105"/>
      <c r="DK152" s="105"/>
      <c r="DL152" s="105"/>
      <c r="DM152" s="105"/>
      <c r="DN152" s="105"/>
      <c r="DO152" s="105"/>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c r="FH152" s="105"/>
      <c r="FI152" s="105"/>
      <c r="FJ152" s="105"/>
      <c r="FK152" s="105"/>
      <c r="FL152" s="105"/>
      <c r="FM152" s="105"/>
      <c r="FN152" s="105"/>
      <c r="FO152" s="105"/>
      <c r="FP152" s="105"/>
      <c r="FQ152" s="105"/>
      <c r="FR152" s="105"/>
      <c r="FS152" s="105"/>
      <c r="FT152" s="105"/>
      <c r="FU152" s="105"/>
      <c r="FV152" s="105"/>
      <c r="FW152" s="105"/>
      <c r="FX152" s="105"/>
      <c r="FY152" s="105"/>
      <c r="FZ152" s="105"/>
      <c r="GA152" s="105"/>
      <c r="GB152" s="105"/>
      <c r="GC152" s="105"/>
      <c r="GD152" s="105"/>
      <c r="GE152" s="105"/>
      <c r="GF152" s="105"/>
      <c r="GG152" s="105"/>
      <c r="GH152" s="105"/>
      <c r="GI152" s="105"/>
      <c r="GJ152" s="105"/>
      <c r="GK152" s="105"/>
      <c r="GL152" s="105"/>
      <c r="GM152" s="105"/>
      <c r="GN152" s="105"/>
      <c r="GO152" s="105"/>
      <c r="GP152" s="105"/>
      <c r="GQ152" s="105"/>
      <c r="GR152" s="105"/>
      <c r="GS152" s="105"/>
      <c r="GT152" s="105"/>
      <c r="GU152" s="105"/>
      <c r="GV152" s="105"/>
      <c r="GW152" s="105"/>
      <c r="GX152" s="105"/>
      <c r="GY152" s="105"/>
      <c r="GZ152" s="105"/>
      <c r="HA152" s="105"/>
      <c r="HB152" s="105"/>
      <c r="HC152" s="105"/>
      <c r="HD152" s="105"/>
      <c r="HE152" s="105"/>
      <c r="HF152" s="105"/>
      <c r="HG152" s="105"/>
      <c r="HH152" s="105"/>
      <c r="HI152" s="105"/>
      <c r="HJ152" s="105"/>
      <c r="HK152" s="105"/>
      <c r="HL152" s="105"/>
      <c r="HM152" s="105"/>
      <c r="HN152" s="105"/>
      <c r="HO152" s="105"/>
      <c r="HP152" s="105"/>
      <c r="HQ152" s="105"/>
      <c r="HR152" s="105"/>
      <c r="HS152" s="105"/>
      <c r="HT152" s="105"/>
      <c r="HU152" s="105"/>
      <c r="HV152" s="105"/>
      <c r="HW152" s="105"/>
      <c r="HX152" s="105"/>
      <c r="HY152" s="105"/>
      <c r="HZ152" s="105"/>
      <c r="IA152" s="105"/>
      <c r="IB152" s="105"/>
      <c r="IC152" s="105"/>
      <c r="ID152" s="105"/>
      <c r="IE152" s="105"/>
      <c r="IF152" s="105"/>
      <c r="IG152" s="105"/>
      <c r="IH152" s="105"/>
      <c r="II152" s="105"/>
      <c r="IJ152" s="105"/>
      <c r="IK152" s="105"/>
      <c r="IL152" s="105"/>
      <c r="IM152" s="105"/>
      <c r="IN152" s="105"/>
      <c r="IO152" s="105"/>
      <c r="IP152" s="105"/>
      <c r="IQ152" s="105"/>
      <c r="IR152" s="105"/>
      <c r="IS152" s="105"/>
      <c r="IT152" s="105"/>
      <c r="IU152" s="105"/>
      <c r="IV152" s="105"/>
    </row>
    <row r="153" s="106" customFormat="1" ht="20.1" customHeight="1" spans="1:256">
      <c r="A153" s="105"/>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5"/>
      <c r="DJ153" s="105"/>
      <c r="DK153" s="105"/>
      <c r="DL153" s="105"/>
      <c r="DM153" s="105"/>
      <c r="DN153" s="105"/>
      <c r="DO153" s="105"/>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c r="FH153" s="105"/>
      <c r="FI153" s="105"/>
      <c r="FJ153" s="105"/>
      <c r="FK153" s="105"/>
      <c r="FL153" s="105"/>
      <c r="FM153" s="105"/>
      <c r="FN153" s="105"/>
      <c r="FO153" s="105"/>
      <c r="FP153" s="105"/>
      <c r="FQ153" s="105"/>
      <c r="FR153" s="105"/>
      <c r="FS153" s="105"/>
      <c r="FT153" s="105"/>
      <c r="FU153" s="105"/>
      <c r="FV153" s="105"/>
      <c r="FW153" s="105"/>
      <c r="FX153" s="105"/>
      <c r="FY153" s="105"/>
      <c r="FZ153" s="105"/>
      <c r="GA153" s="105"/>
      <c r="GB153" s="105"/>
      <c r="GC153" s="105"/>
      <c r="GD153" s="105"/>
      <c r="GE153" s="105"/>
      <c r="GF153" s="105"/>
      <c r="GG153" s="105"/>
      <c r="GH153" s="105"/>
      <c r="GI153" s="105"/>
      <c r="GJ153" s="105"/>
      <c r="GK153" s="105"/>
      <c r="GL153" s="105"/>
      <c r="GM153" s="105"/>
      <c r="GN153" s="105"/>
      <c r="GO153" s="105"/>
      <c r="GP153" s="105"/>
      <c r="GQ153" s="105"/>
      <c r="GR153" s="105"/>
      <c r="GS153" s="105"/>
      <c r="GT153" s="105"/>
      <c r="GU153" s="105"/>
      <c r="GV153" s="105"/>
      <c r="GW153" s="105"/>
      <c r="GX153" s="105"/>
      <c r="GY153" s="105"/>
      <c r="GZ153" s="105"/>
      <c r="HA153" s="105"/>
      <c r="HB153" s="105"/>
      <c r="HC153" s="105"/>
      <c r="HD153" s="105"/>
      <c r="HE153" s="105"/>
      <c r="HF153" s="105"/>
      <c r="HG153" s="105"/>
      <c r="HH153" s="105"/>
      <c r="HI153" s="105"/>
      <c r="HJ153" s="105"/>
      <c r="HK153" s="105"/>
      <c r="HL153" s="105"/>
      <c r="HM153" s="105"/>
      <c r="HN153" s="105"/>
      <c r="HO153" s="105"/>
      <c r="HP153" s="105"/>
      <c r="HQ153" s="105"/>
      <c r="HR153" s="105"/>
      <c r="HS153" s="105"/>
      <c r="HT153" s="105"/>
      <c r="HU153" s="105"/>
      <c r="HV153" s="105"/>
      <c r="HW153" s="105"/>
      <c r="HX153" s="105"/>
      <c r="HY153" s="105"/>
      <c r="HZ153" s="105"/>
      <c r="IA153" s="105"/>
      <c r="IB153" s="105"/>
      <c r="IC153" s="105"/>
      <c r="ID153" s="105"/>
      <c r="IE153" s="105"/>
      <c r="IF153" s="105"/>
      <c r="IG153" s="105"/>
      <c r="IH153" s="105"/>
      <c r="II153" s="105"/>
      <c r="IJ153" s="105"/>
      <c r="IK153" s="105"/>
      <c r="IL153" s="105"/>
      <c r="IM153" s="105"/>
      <c r="IN153" s="105"/>
      <c r="IO153" s="105"/>
      <c r="IP153" s="105"/>
      <c r="IQ153" s="105"/>
      <c r="IR153" s="105"/>
      <c r="IS153" s="105"/>
      <c r="IT153" s="105"/>
      <c r="IU153" s="105"/>
      <c r="IV153" s="105"/>
    </row>
    <row r="154" s="106" customFormat="1" ht="20.1" customHeight="1" spans="1:256">
      <c r="A154" s="105"/>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5"/>
      <c r="DJ154" s="105"/>
      <c r="DK154" s="105"/>
      <c r="DL154" s="105"/>
      <c r="DM154" s="105"/>
      <c r="DN154" s="105"/>
      <c r="DO154" s="105"/>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c r="FH154" s="105"/>
      <c r="FI154" s="105"/>
      <c r="FJ154" s="105"/>
      <c r="FK154" s="105"/>
      <c r="FL154" s="105"/>
      <c r="FM154" s="105"/>
      <c r="FN154" s="105"/>
      <c r="FO154" s="105"/>
      <c r="FP154" s="105"/>
      <c r="FQ154" s="105"/>
      <c r="FR154" s="105"/>
      <c r="FS154" s="105"/>
      <c r="FT154" s="105"/>
      <c r="FU154" s="105"/>
      <c r="FV154" s="105"/>
      <c r="FW154" s="105"/>
      <c r="FX154" s="105"/>
      <c r="FY154" s="105"/>
      <c r="FZ154" s="105"/>
      <c r="GA154" s="105"/>
      <c r="GB154" s="105"/>
      <c r="GC154" s="105"/>
      <c r="GD154" s="105"/>
      <c r="GE154" s="105"/>
      <c r="GF154" s="105"/>
      <c r="GG154" s="105"/>
      <c r="GH154" s="105"/>
      <c r="GI154" s="105"/>
      <c r="GJ154" s="105"/>
      <c r="GK154" s="105"/>
      <c r="GL154" s="105"/>
      <c r="GM154" s="105"/>
      <c r="GN154" s="105"/>
      <c r="GO154" s="105"/>
      <c r="GP154" s="105"/>
      <c r="GQ154" s="105"/>
      <c r="GR154" s="105"/>
      <c r="GS154" s="105"/>
      <c r="GT154" s="105"/>
      <c r="GU154" s="105"/>
      <c r="GV154" s="105"/>
      <c r="GW154" s="105"/>
      <c r="GX154" s="105"/>
      <c r="GY154" s="105"/>
      <c r="GZ154" s="105"/>
      <c r="HA154" s="105"/>
      <c r="HB154" s="105"/>
      <c r="HC154" s="105"/>
      <c r="HD154" s="105"/>
      <c r="HE154" s="105"/>
      <c r="HF154" s="105"/>
      <c r="HG154" s="105"/>
      <c r="HH154" s="105"/>
      <c r="HI154" s="105"/>
      <c r="HJ154" s="105"/>
      <c r="HK154" s="105"/>
      <c r="HL154" s="105"/>
      <c r="HM154" s="105"/>
      <c r="HN154" s="105"/>
      <c r="HO154" s="105"/>
      <c r="HP154" s="105"/>
      <c r="HQ154" s="105"/>
      <c r="HR154" s="105"/>
      <c r="HS154" s="105"/>
      <c r="HT154" s="105"/>
      <c r="HU154" s="105"/>
      <c r="HV154" s="105"/>
      <c r="HW154" s="105"/>
      <c r="HX154" s="105"/>
      <c r="HY154" s="105"/>
      <c r="HZ154" s="105"/>
      <c r="IA154" s="105"/>
      <c r="IB154" s="105"/>
      <c r="IC154" s="105"/>
      <c r="ID154" s="105"/>
      <c r="IE154" s="105"/>
      <c r="IF154" s="105"/>
      <c r="IG154" s="105"/>
      <c r="IH154" s="105"/>
      <c r="II154" s="105"/>
      <c r="IJ154" s="105"/>
      <c r="IK154" s="105"/>
      <c r="IL154" s="105"/>
      <c r="IM154" s="105"/>
      <c r="IN154" s="105"/>
      <c r="IO154" s="105"/>
      <c r="IP154" s="105"/>
      <c r="IQ154" s="105"/>
      <c r="IR154" s="105"/>
      <c r="IS154" s="105"/>
      <c r="IT154" s="105"/>
      <c r="IU154" s="105"/>
      <c r="IV154" s="105"/>
    </row>
    <row r="155" s="106" customFormat="1" ht="20.1" customHeight="1" spans="1:256">
      <c r="A155" s="105"/>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c r="CV155" s="105"/>
      <c r="CW155" s="105"/>
      <c r="CX155" s="105"/>
      <c r="CY155" s="105"/>
      <c r="CZ155" s="105"/>
      <c r="DA155" s="105"/>
      <c r="DB155" s="105"/>
      <c r="DC155" s="105"/>
      <c r="DD155" s="105"/>
      <c r="DE155" s="105"/>
      <c r="DF155" s="105"/>
      <c r="DG155" s="105"/>
      <c r="DH155" s="105"/>
      <c r="DI155" s="105"/>
      <c r="DJ155" s="105"/>
      <c r="DK155" s="105"/>
      <c r="DL155" s="105"/>
      <c r="DM155" s="105"/>
      <c r="DN155" s="105"/>
      <c r="DO155" s="105"/>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c r="FH155" s="105"/>
      <c r="FI155" s="105"/>
      <c r="FJ155" s="105"/>
      <c r="FK155" s="105"/>
      <c r="FL155" s="105"/>
      <c r="FM155" s="105"/>
      <c r="FN155" s="105"/>
      <c r="FO155" s="105"/>
      <c r="FP155" s="105"/>
      <c r="FQ155" s="105"/>
      <c r="FR155" s="105"/>
      <c r="FS155" s="105"/>
      <c r="FT155" s="105"/>
      <c r="FU155" s="105"/>
      <c r="FV155" s="105"/>
      <c r="FW155" s="105"/>
      <c r="FX155" s="105"/>
      <c r="FY155" s="105"/>
      <c r="FZ155" s="105"/>
      <c r="GA155" s="105"/>
      <c r="GB155" s="105"/>
      <c r="GC155" s="105"/>
      <c r="GD155" s="105"/>
      <c r="GE155" s="105"/>
      <c r="GF155" s="105"/>
      <c r="GG155" s="105"/>
      <c r="GH155" s="105"/>
      <c r="GI155" s="105"/>
      <c r="GJ155" s="105"/>
      <c r="GK155" s="105"/>
      <c r="GL155" s="105"/>
      <c r="GM155" s="105"/>
      <c r="GN155" s="105"/>
      <c r="GO155" s="105"/>
      <c r="GP155" s="105"/>
      <c r="GQ155" s="105"/>
      <c r="GR155" s="105"/>
      <c r="GS155" s="105"/>
      <c r="GT155" s="105"/>
      <c r="GU155" s="105"/>
      <c r="GV155" s="105"/>
      <c r="GW155" s="105"/>
      <c r="GX155" s="105"/>
      <c r="GY155" s="105"/>
      <c r="GZ155" s="105"/>
      <c r="HA155" s="105"/>
      <c r="HB155" s="105"/>
      <c r="HC155" s="105"/>
      <c r="HD155" s="105"/>
      <c r="HE155" s="105"/>
      <c r="HF155" s="105"/>
      <c r="HG155" s="105"/>
      <c r="HH155" s="105"/>
      <c r="HI155" s="105"/>
      <c r="HJ155" s="105"/>
      <c r="HK155" s="105"/>
      <c r="HL155" s="105"/>
      <c r="HM155" s="105"/>
      <c r="HN155" s="105"/>
      <c r="HO155" s="105"/>
      <c r="HP155" s="105"/>
      <c r="HQ155" s="105"/>
      <c r="HR155" s="105"/>
      <c r="HS155" s="105"/>
      <c r="HT155" s="105"/>
      <c r="HU155" s="105"/>
      <c r="HV155" s="105"/>
      <c r="HW155" s="105"/>
      <c r="HX155" s="105"/>
      <c r="HY155" s="105"/>
      <c r="HZ155" s="105"/>
      <c r="IA155" s="105"/>
      <c r="IB155" s="105"/>
      <c r="IC155" s="105"/>
      <c r="ID155" s="105"/>
      <c r="IE155" s="105"/>
      <c r="IF155" s="105"/>
      <c r="IG155" s="105"/>
      <c r="IH155" s="105"/>
      <c r="II155" s="105"/>
      <c r="IJ155" s="105"/>
      <c r="IK155" s="105"/>
      <c r="IL155" s="105"/>
      <c r="IM155" s="105"/>
      <c r="IN155" s="105"/>
      <c r="IO155" s="105"/>
      <c r="IP155" s="105"/>
      <c r="IQ155" s="105"/>
      <c r="IR155" s="105"/>
      <c r="IS155" s="105"/>
      <c r="IT155" s="105"/>
      <c r="IU155" s="105"/>
      <c r="IV155" s="105"/>
    </row>
    <row r="156" s="106" customFormat="1" ht="20.1" customHeight="1" spans="1:256">
      <c r="A156" s="105"/>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105"/>
      <c r="CB156" s="105"/>
      <c r="CC156" s="105"/>
      <c r="CD156" s="105"/>
      <c r="CE156" s="105"/>
      <c r="CF156" s="105"/>
      <c r="CG156" s="105"/>
      <c r="CH156" s="105"/>
      <c r="CI156" s="105"/>
      <c r="CJ156" s="105"/>
      <c r="CK156" s="105"/>
      <c r="CL156" s="105"/>
      <c r="CM156" s="105"/>
      <c r="CN156" s="105"/>
      <c r="CO156" s="105"/>
      <c r="CP156" s="105"/>
      <c r="CQ156" s="105"/>
      <c r="CR156" s="105"/>
      <c r="CS156" s="105"/>
      <c r="CT156" s="105"/>
      <c r="CU156" s="105"/>
      <c r="CV156" s="105"/>
      <c r="CW156" s="105"/>
      <c r="CX156" s="105"/>
      <c r="CY156" s="105"/>
      <c r="CZ156" s="105"/>
      <c r="DA156" s="105"/>
      <c r="DB156" s="105"/>
      <c r="DC156" s="105"/>
      <c r="DD156" s="105"/>
      <c r="DE156" s="105"/>
      <c r="DF156" s="105"/>
      <c r="DG156" s="105"/>
      <c r="DH156" s="105"/>
      <c r="DI156" s="105"/>
      <c r="DJ156" s="105"/>
      <c r="DK156" s="105"/>
      <c r="DL156" s="105"/>
      <c r="DM156" s="105"/>
      <c r="DN156" s="105"/>
      <c r="DO156" s="105"/>
      <c r="DP156" s="105"/>
      <c r="DQ156" s="105"/>
      <c r="DR156" s="105"/>
      <c r="DS156" s="105"/>
      <c r="DT156" s="105"/>
      <c r="DU156" s="105"/>
      <c r="DV156" s="105"/>
      <c r="DW156" s="105"/>
      <c r="DX156" s="105"/>
      <c r="DY156" s="105"/>
      <c r="DZ156" s="105"/>
      <c r="EA156" s="105"/>
      <c r="EB156" s="105"/>
      <c r="EC156" s="105"/>
      <c r="ED156" s="105"/>
      <c r="EE156" s="105"/>
      <c r="EF156" s="105"/>
      <c r="EG156" s="105"/>
      <c r="EH156" s="105"/>
      <c r="EI156" s="105"/>
      <c r="EJ156" s="105"/>
      <c r="EK156" s="105"/>
      <c r="EL156" s="105"/>
      <c r="EM156" s="105"/>
      <c r="EN156" s="105"/>
      <c r="EO156" s="105"/>
      <c r="EP156" s="105"/>
      <c r="EQ156" s="105"/>
      <c r="ER156" s="105"/>
      <c r="ES156" s="105"/>
      <c r="ET156" s="105"/>
      <c r="EU156" s="105"/>
      <c r="EV156" s="105"/>
      <c r="EW156" s="105"/>
      <c r="EX156" s="105"/>
      <c r="EY156" s="105"/>
      <c r="EZ156" s="105"/>
      <c r="FA156" s="105"/>
      <c r="FB156" s="105"/>
      <c r="FC156" s="105"/>
      <c r="FD156" s="105"/>
      <c r="FE156" s="105"/>
      <c r="FF156" s="105"/>
      <c r="FG156" s="105"/>
      <c r="FH156" s="105"/>
      <c r="FI156" s="105"/>
      <c r="FJ156" s="105"/>
      <c r="FK156" s="105"/>
      <c r="FL156" s="105"/>
      <c r="FM156" s="105"/>
      <c r="FN156" s="105"/>
      <c r="FO156" s="105"/>
      <c r="FP156" s="105"/>
      <c r="FQ156" s="105"/>
      <c r="FR156" s="105"/>
      <c r="FS156" s="105"/>
      <c r="FT156" s="105"/>
      <c r="FU156" s="105"/>
      <c r="FV156" s="105"/>
      <c r="FW156" s="105"/>
      <c r="FX156" s="105"/>
      <c r="FY156" s="105"/>
      <c r="FZ156" s="105"/>
      <c r="GA156" s="105"/>
      <c r="GB156" s="105"/>
      <c r="GC156" s="105"/>
      <c r="GD156" s="105"/>
      <c r="GE156" s="105"/>
      <c r="GF156" s="105"/>
      <c r="GG156" s="105"/>
      <c r="GH156" s="105"/>
      <c r="GI156" s="105"/>
      <c r="GJ156" s="105"/>
      <c r="GK156" s="105"/>
      <c r="GL156" s="105"/>
      <c r="GM156" s="105"/>
      <c r="GN156" s="105"/>
      <c r="GO156" s="105"/>
      <c r="GP156" s="105"/>
      <c r="GQ156" s="105"/>
      <c r="GR156" s="105"/>
      <c r="GS156" s="105"/>
      <c r="GT156" s="105"/>
      <c r="GU156" s="105"/>
      <c r="GV156" s="105"/>
      <c r="GW156" s="105"/>
      <c r="GX156" s="105"/>
      <c r="GY156" s="105"/>
      <c r="GZ156" s="105"/>
      <c r="HA156" s="105"/>
      <c r="HB156" s="105"/>
      <c r="HC156" s="105"/>
      <c r="HD156" s="105"/>
      <c r="HE156" s="105"/>
      <c r="HF156" s="105"/>
      <c r="HG156" s="105"/>
      <c r="HH156" s="105"/>
      <c r="HI156" s="105"/>
      <c r="HJ156" s="105"/>
      <c r="HK156" s="105"/>
      <c r="HL156" s="105"/>
      <c r="HM156" s="105"/>
      <c r="HN156" s="105"/>
      <c r="HO156" s="105"/>
      <c r="HP156" s="105"/>
      <c r="HQ156" s="105"/>
      <c r="HR156" s="105"/>
      <c r="HS156" s="105"/>
      <c r="HT156" s="105"/>
      <c r="HU156" s="105"/>
      <c r="HV156" s="105"/>
      <c r="HW156" s="105"/>
      <c r="HX156" s="105"/>
      <c r="HY156" s="105"/>
      <c r="HZ156" s="105"/>
      <c r="IA156" s="105"/>
      <c r="IB156" s="105"/>
      <c r="IC156" s="105"/>
      <c r="ID156" s="105"/>
      <c r="IE156" s="105"/>
      <c r="IF156" s="105"/>
      <c r="IG156" s="105"/>
      <c r="IH156" s="105"/>
      <c r="II156" s="105"/>
      <c r="IJ156" s="105"/>
      <c r="IK156" s="105"/>
      <c r="IL156" s="105"/>
      <c r="IM156" s="105"/>
      <c r="IN156" s="105"/>
      <c r="IO156" s="105"/>
      <c r="IP156" s="105"/>
      <c r="IQ156" s="105"/>
      <c r="IR156" s="105"/>
      <c r="IS156" s="105"/>
      <c r="IT156" s="105"/>
      <c r="IU156" s="105"/>
      <c r="IV156" s="105"/>
    </row>
    <row r="157" s="106" customFormat="1" ht="20.1" customHeight="1" spans="1:256">
      <c r="A157" s="105"/>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5"/>
      <c r="BN157" s="105"/>
      <c r="BO157" s="105"/>
      <c r="BP157" s="105"/>
      <c r="BQ157" s="105"/>
      <c r="BR157" s="105"/>
      <c r="BS157" s="105"/>
      <c r="BT157" s="105"/>
      <c r="BU157" s="105"/>
      <c r="BV157" s="105"/>
      <c r="BW157" s="105"/>
      <c r="BX157" s="105"/>
      <c r="BY157" s="105"/>
      <c r="BZ157" s="105"/>
      <c r="CA157" s="105"/>
      <c r="CB157" s="105"/>
      <c r="CC157" s="105"/>
      <c r="CD157" s="105"/>
      <c r="CE157" s="105"/>
      <c r="CF157" s="105"/>
      <c r="CG157" s="105"/>
      <c r="CH157" s="105"/>
      <c r="CI157" s="105"/>
      <c r="CJ157" s="105"/>
      <c r="CK157" s="105"/>
      <c r="CL157" s="105"/>
      <c r="CM157" s="105"/>
      <c r="CN157" s="105"/>
      <c r="CO157" s="105"/>
      <c r="CP157" s="105"/>
      <c r="CQ157" s="105"/>
      <c r="CR157" s="105"/>
      <c r="CS157" s="105"/>
      <c r="CT157" s="105"/>
      <c r="CU157" s="105"/>
      <c r="CV157" s="105"/>
      <c r="CW157" s="105"/>
      <c r="CX157" s="105"/>
      <c r="CY157" s="105"/>
      <c r="CZ157" s="105"/>
      <c r="DA157" s="105"/>
      <c r="DB157" s="105"/>
      <c r="DC157" s="105"/>
      <c r="DD157" s="105"/>
      <c r="DE157" s="105"/>
      <c r="DF157" s="105"/>
      <c r="DG157" s="105"/>
      <c r="DH157" s="105"/>
      <c r="DI157" s="105"/>
      <c r="DJ157" s="105"/>
      <c r="DK157" s="105"/>
      <c r="DL157" s="105"/>
      <c r="DM157" s="105"/>
      <c r="DN157" s="105"/>
      <c r="DO157" s="105"/>
      <c r="DP157" s="105"/>
      <c r="DQ157" s="105"/>
      <c r="DR157" s="105"/>
      <c r="DS157" s="105"/>
      <c r="DT157" s="105"/>
      <c r="DU157" s="105"/>
      <c r="DV157" s="105"/>
      <c r="DW157" s="105"/>
      <c r="DX157" s="105"/>
      <c r="DY157" s="105"/>
      <c r="DZ157" s="105"/>
      <c r="EA157" s="105"/>
      <c r="EB157" s="105"/>
      <c r="EC157" s="105"/>
      <c r="ED157" s="105"/>
      <c r="EE157" s="105"/>
      <c r="EF157" s="105"/>
      <c r="EG157" s="105"/>
      <c r="EH157" s="105"/>
      <c r="EI157" s="105"/>
      <c r="EJ157" s="105"/>
      <c r="EK157" s="105"/>
      <c r="EL157" s="105"/>
      <c r="EM157" s="105"/>
      <c r="EN157" s="105"/>
      <c r="EO157" s="105"/>
      <c r="EP157" s="105"/>
      <c r="EQ157" s="105"/>
      <c r="ER157" s="105"/>
      <c r="ES157" s="105"/>
      <c r="ET157" s="105"/>
      <c r="EU157" s="105"/>
      <c r="EV157" s="105"/>
      <c r="EW157" s="105"/>
      <c r="EX157" s="105"/>
      <c r="EY157" s="105"/>
      <c r="EZ157" s="105"/>
      <c r="FA157" s="105"/>
      <c r="FB157" s="105"/>
      <c r="FC157" s="105"/>
      <c r="FD157" s="105"/>
      <c r="FE157" s="105"/>
      <c r="FF157" s="105"/>
      <c r="FG157" s="105"/>
      <c r="FH157" s="105"/>
      <c r="FI157" s="105"/>
      <c r="FJ157" s="105"/>
      <c r="FK157" s="105"/>
      <c r="FL157" s="105"/>
      <c r="FM157" s="105"/>
      <c r="FN157" s="105"/>
      <c r="FO157" s="105"/>
      <c r="FP157" s="105"/>
      <c r="FQ157" s="105"/>
      <c r="FR157" s="105"/>
      <c r="FS157" s="105"/>
      <c r="FT157" s="105"/>
      <c r="FU157" s="105"/>
      <c r="FV157" s="105"/>
      <c r="FW157" s="105"/>
      <c r="FX157" s="105"/>
      <c r="FY157" s="105"/>
      <c r="FZ157" s="105"/>
      <c r="GA157" s="105"/>
      <c r="GB157" s="105"/>
      <c r="GC157" s="105"/>
      <c r="GD157" s="105"/>
      <c r="GE157" s="105"/>
      <c r="GF157" s="105"/>
      <c r="GG157" s="105"/>
      <c r="GH157" s="105"/>
      <c r="GI157" s="105"/>
      <c r="GJ157" s="105"/>
      <c r="GK157" s="105"/>
      <c r="GL157" s="105"/>
      <c r="GM157" s="105"/>
      <c r="GN157" s="105"/>
      <c r="GO157" s="105"/>
      <c r="GP157" s="105"/>
      <c r="GQ157" s="105"/>
      <c r="GR157" s="105"/>
      <c r="GS157" s="105"/>
      <c r="GT157" s="105"/>
      <c r="GU157" s="105"/>
      <c r="GV157" s="105"/>
      <c r="GW157" s="105"/>
      <c r="GX157" s="105"/>
      <c r="GY157" s="105"/>
      <c r="GZ157" s="105"/>
      <c r="HA157" s="105"/>
      <c r="HB157" s="105"/>
      <c r="HC157" s="105"/>
      <c r="HD157" s="105"/>
      <c r="HE157" s="105"/>
      <c r="HF157" s="105"/>
      <c r="HG157" s="105"/>
      <c r="HH157" s="105"/>
      <c r="HI157" s="105"/>
      <c r="HJ157" s="105"/>
      <c r="HK157" s="105"/>
      <c r="HL157" s="105"/>
      <c r="HM157" s="105"/>
      <c r="HN157" s="105"/>
      <c r="HO157" s="105"/>
      <c r="HP157" s="105"/>
      <c r="HQ157" s="105"/>
      <c r="HR157" s="105"/>
      <c r="HS157" s="105"/>
      <c r="HT157" s="105"/>
      <c r="HU157" s="105"/>
      <c r="HV157" s="105"/>
      <c r="HW157" s="105"/>
      <c r="HX157" s="105"/>
      <c r="HY157" s="105"/>
      <c r="HZ157" s="105"/>
      <c r="IA157" s="105"/>
      <c r="IB157" s="105"/>
      <c r="IC157" s="105"/>
      <c r="ID157" s="105"/>
      <c r="IE157" s="105"/>
      <c r="IF157" s="105"/>
      <c r="IG157" s="105"/>
      <c r="IH157" s="105"/>
      <c r="II157" s="105"/>
      <c r="IJ157" s="105"/>
      <c r="IK157" s="105"/>
      <c r="IL157" s="105"/>
      <c r="IM157" s="105"/>
      <c r="IN157" s="105"/>
      <c r="IO157" s="105"/>
      <c r="IP157" s="105"/>
      <c r="IQ157" s="105"/>
      <c r="IR157" s="105"/>
      <c r="IS157" s="105"/>
      <c r="IT157" s="105"/>
      <c r="IU157" s="105"/>
      <c r="IV157" s="105"/>
    </row>
    <row r="158" s="106" customFormat="1" ht="20.1" customHeight="1" spans="1:256">
      <c r="A158" s="105"/>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c r="CB158" s="105"/>
      <c r="CC158" s="105"/>
      <c r="CD158" s="105"/>
      <c r="CE158" s="105"/>
      <c r="CF158" s="105"/>
      <c r="CG158" s="105"/>
      <c r="CH158" s="105"/>
      <c r="CI158" s="105"/>
      <c r="CJ158" s="105"/>
      <c r="CK158" s="105"/>
      <c r="CL158" s="105"/>
      <c r="CM158" s="105"/>
      <c r="CN158" s="105"/>
      <c r="CO158" s="105"/>
      <c r="CP158" s="105"/>
      <c r="CQ158" s="105"/>
      <c r="CR158" s="105"/>
      <c r="CS158" s="105"/>
      <c r="CT158" s="105"/>
      <c r="CU158" s="105"/>
      <c r="CV158" s="105"/>
      <c r="CW158" s="105"/>
      <c r="CX158" s="105"/>
      <c r="CY158" s="105"/>
      <c r="CZ158" s="105"/>
      <c r="DA158" s="105"/>
      <c r="DB158" s="105"/>
      <c r="DC158" s="105"/>
      <c r="DD158" s="105"/>
      <c r="DE158" s="105"/>
      <c r="DF158" s="105"/>
      <c r="DG158" s="105"/>
      <c r="DH158" s="105"/>
      <c r="DI158" s="105"/>
      <c r="DJ158" s="105"/>
      <c r="DK158" s="105"/>
      <c r="DL158" s="105"/>
      <c r="DM158" s="105"/>
      <c r="DN158" s="105"/>
      <c r="DO158" s="105"/>
      <c r="DP158" s="105"/>
      <c r="DQ158" s="105"/>
      <c r="DR158" s="105"/>
      <c r="DS158" s="105"/>
      <c r="DT158" s="105"/>
      <c r="DU158" s="105"/>
      <c r="DV158" s="105"/>
      <c r="DW158" s="105"/>
      <c r="DX158" s="105"/>
      <c r="DY158" s="105"/>
      <c r="DZ158" s="105"/>
      <c r="EA158" s="105"/>
      <c r="EB158" s="105"/>
      <c r="EC158" s="105"/>
      <c r="ED158" s="105"/>
      <c r="EE158" s="105"/>
      <c r="EF158" s="105"/>
      <c r="EG158" s="105"/>
      <c r="EH158" s="105"/>
      <c r="EI158" s="105"/>
      <c r="EJ158" s="105"/>
      <c r="EK158" s="105"/>
      <c r="EL158" s="105"/>
      <c r="EM158" s="105"/>
      <c r="EN158" s="105"/>
      <c r="EO158" s="105"/>
      <c r="EP158" s="105"/>
      <c r="EQ158" s="105"/>
      <c r="ER158" s="105"/>
      <c r="ES158" s="105"/>
      <c r="ET158" s="105"/>
      <c r="EU158" s="105"/>
      <c r="EV158" s="105"/>
      <c r="EW158" s="105"/>
      <c r="EX158" s="105"/>
      <c r="EY158" s="105"/>
      <c r="EZ158" s="105"/>
      <c r="FA158" s="105"/>
      <c r="FB158" s="105"/>
      <c r="FC158" s="105"/>
      <c r="FD158" s="105"/>
      <c r="FE158" s="105"/>
      <c r="FF158" s="105"/>
      <c r="FG158" s="105"/>
      <c r="FH158" s="105"/>
      <c r="FI158" s="105"/>
      <c r="FJ158" s="105"/>
      <c r="FK158" s="105"/>
      <c r="FL158" s="105"/>
      <c r="FM158" s="105"/>
      <c r="FN158" s="105"/>
      <c r="FO158" s="105"/>
      <c r="FP158" s="105"/>
      <c r="FQ158" s="105"/>
      <c r="FR158" s="105"/>
      <c r="FS158" s="105"/>
      <c r="FT158" s="105"/>
      <c r="FU158" s="105"/>
      <c r="FV158" s="105"/>
      <c r="FW158" s="105"/>
      <c r="FX158" s="105"/>
      <c r="FY158" s="105"/>
      <c r="FZ158" s="105"/>
      <c r="GA158" s="105"/>
      <c r="GB158" s="105"/>
      <c r="GC158" s="105"/>
      <c r="GD158" s="105"/>
      <c r="GE158" s="105"/>
      <c r="GF158" s="105"/>
      <c r="GG158" s="105"/>
      <c r="GH158" s="105"/>
      <c r="GI158" s="105"/>
      <c r="GJ158" s="105"/>
      <c r="GK158" s="105"/>
      <c r="GL158" s="105"/>
      <c r="GM158" s="105"/>
      <c r="GN158" s="105"/>
      <c r="GO158" s="105"/>
      <c r="GP158" s="105"/>
      <c r="GQ158" s="105"/>
      <c r="GR158" s="105"/>
      <c r="GS158" s="105"/>
      <c r="GT158" s="105"/>
      <c r="GU158" s="105"/>
      <c r="GV158" s="105"/>
      <c r="GW158" s="105"/>
      <c r="GX158" s="105"/>
      <c r="GY158" s="105"/>
      <c r="GZ158" s="105"/>
      <c r="HA158" s="105"/>
      <c r="HB158" s="105"/>
      <c r="HC158" s="105"/>
      <c r="HD158" s="105"/>
      <c r="HE158" s="105"/>
      <c r="HF158" s="105"/>
      <c r="HG158" s="105"/>
      <c r="HH158" s="105"/>
      <c r="HI158" s="105"/>
      <c r="HJ158" s="105"/>
      <c r="HK158" s="105"/>
      <c r="HL158" s="105"/>
      <c r="HM158" s="105"/>
      <c r="HN158" s="105"/>
      <c r="HO158" s="105"/>
      <c r="HP158" s="105"/>
      <c r="HQ158" s="105"/>
      <c r="HR158" s="105"/>
      <c r="HS158" s="105"/>
      <c r="HT158" s="105"/>
      <c r="HU158" s="105"/>
      <c r="HV158" s="105"/>
      <c r="HW158" s="105"/>
      <c r="HX158" s="105"/>
      <c r="HY158" s="105"/>
      <c r="HZ158" s="105"/>
      <c r="IA158" s="105"/>
      <c r="IB158" s="105"/>
      <c r="IC158" s="105"/>
      <c r="ID158" s="105"/>
      <c r="IE158" s="105"/>
      <c r="IF158" s="105"/>
      <c r="IG158" s="105"/>
      <c r="IH158" s="105"/>
      <c r="II158" s="105"/>
      <c r="IJ158" s="105"/>
      <c r="IK158" s="105"/>
      <c r="IL158" s="105"/>
      <c r="IM158" s="105"/>
      <c r="IN158" s="105"/>
      <c r="IO158" s="105"/>
      <c r="IP158" s="105"/>
      <c r="IQ158" s="105"/>
      <c r="IR158" s="105"/>
      <c r="IS158" s="105"/>
      <c r="IT158" s="105"/>
      <c r="IU158" s="105"/>
      <c r="IV158" s="105"/>
    </row>
    <row r="159" s="106" customFormat="1" ht="20.1" customHeight="1" spans="1:256">
      <c r="A159" s="105"/>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105"/>
      <c r="CT159" s="105"/>
      <c r="CU159" s="105"/>
      <c r="CV159" s="105"/>
      <c r="CW159" s="105"/>
      <c r="CX159" s="105"/>
      <c r="CY159" s="105"/>
      <c r="CZ159" s="105"/>
      <c r="DA159" s="105"/>
      <c r="DB159" s="105"/>
      <c r="DC159" s="105"/>
      <c r="DD159" s="105"/>
      <c r="DE159" s="105"/>
      <c r="DF159" s="105"/>
      <c r="DG159" s="105"/>
      <c r="DH159" s="105"/>
      <c r="DI159" s="105"/>
      <c r="DJ159" s="105"/>
      <c r="DK159" s="105"/>
      <c r="DL159" s="105"/>
      <c r="DM159" s="105"/>
      <c r="DN159" s="105"/>
      <c r="DO159" s="105"/>
      <c r="DP159" s="105"/>
      <c r="DQ159" s="105"/>
      <c r="DR159" s="105"/>
      <c r="DS159" s="105"/>
      <c r="DT159" s="105"/>
      <c r="DU159" s="105"/>
      <c r="DV159" s="105"/>
      <c r="DW159" s="105"/>
      <c r="DX159" s="105"/>
      <c r="DY159" s="105"/>
      <c r="DZ159" s="105"/>
      <c r="EA159" s="105"/>
      <c r="EB159" s="105"/>
      <c r="EC159" s="105"/>
      <c r="ED159" s="105"/>
      <c r="EE159" s="105"/>
      <c r="EF159" s="105"/>
      <c r="EG159" s="105"/>
      <c r="EH159" s="105"/>
      <c r="EI159" s="105"/>
      <c r="EJ159" s="105"/>
      <c r="EK159" s="105"/>
      <c r="EL159" s="105"/>
      <c r="EM159" s="105"/>
      <c r="EN159" s="105"/>
      <c r="EO159" s="105"/>
      <c r="EP159" s="105"/>
      <c r="EQ159" s="105"/>
      <c r="ER159" s="105"/>
      <c r="ES159" s="105"/>
      <c r="ET159" s="105"/>
      <c r="EU159" s="105"/>
      <c r="EV159" s="105"/>
      <c r="EW159" s="105"/>
      <c r="EX159" s="105"/>
      <c r="EY159" s="105"/>
      <c r="EZ159" s="105"/>
      <c r="FA159" s="105"/>
      <c r="FB159" s="105"/>
      <c r="FC159" s="105"/>
      <c r="FD159" s="105"/>
      <c r="FE159" s="105"/>
      <c r="FF159" s="105"/>
      <c r="FG159" s="105"/>
      <c r="FH159" s="105"/>
      <c r="FI159" s="105"/>
      <c r="FJ159" s="105"/>
      <c r="FK159" s="105"/>
      <c r="FL159" s="105"/>
      <c r="FM159" s="105"/>
      <c r="FN159" s="105"/>
      <c r="FO159" s="105"/>
      <c r="FP159" s="105"/>
      <c r="FQ159" s="105"/>
      <c r="FR159" s="105"/>
      <c r="FS159" s="105"/>
      <c r="FT159" s="105"/>
      <c r="FU159" s="105"/>
      <c r="FV159" s="105"/>
      <c r="FW159" s="105"/>
      <c r="FX159" s="105"/>
      <c r="FY159" s="105"/>
      <c r="FZ159" s="105"/>
      <c r="GA159" s="105"/>
      <c r="GB159" s="105"/>
      <c r="GC159" s="105"/>
      <c r="GD159" s="105"/>
      <c r="GE159" s="105"/>
      <c r="GF159" s="105"/>
      <c r="GG159" s="105"/>
      <c r="GH159" s="105"/>
      <c r="GI159" s="105"/>
      <c r="GJ159" s="105"/>
      <c r="GK159" s="105"/>
      <c r="GL159" s="105"/>
      <c r="GM159" s="105"/>
      <c r="GN159" s="105"/>
      <c r="GO159" s="105"/>
      <c r="GP159" s="105"/>
      <c r="GQ159" s="105"/>
      <c r="GR159" s="105"/>
      <c r="GS159" s="105"/>
      <c r="GT159" s="105"/>
      <c r="GU159" s="105"/>
      <c r="GV159" s="105"/>
      <c r="GW159" s="105"/>
      <c r="GX159" s="105"/>
      <c r="GY159" s="105"/>
      <c r="GZ159" s="105"/>
      <c r="HA159" s="105"/>
      <c r="HB159" s="105"/>
      <c r="HC159" s="105"/>
      <c r="HD159" s="105"/>
      <c r="HE159" s="105"/>
      <c r="HF159" s="105"/>
      <c r="HG159" s="105"/>
      <c r="HH159" s="105"/>
      <c r="HI159" s="105"/>
      <c r="HJ159" s="105"/>
      <c r="HK159" s="105"/>
      <c r="HL159" s="105"/>
      <c r="HM159" s="105"/>
      <c r="HN159" s="105"/>
      <c r="HO159" s="105"/>
      <c r="HP159" s="105"/>
      <c r="HQ159" s="105"/>
      <c r="HR159" s="105"/>
      <c r="HS159" s="105"/>
      <c r="HT159" s="105"/>
      <c r="HU159" s="105"/>
      <c r="HV159" s="105"/>
      <c r="HW159" s="105"/>
      <c r="HX159" s="105"/>
      <c r="HY159" s="105"/>
      <c r="HZ159" s="105"/>
      <c r="IA159" s="105"/>
      <c r="IB159" s="105"/>
      <c r="IC159" s="105"/>
      <c r="ID159" s="105"/>
      <c r="IE159" s="105"/>
      <c r="IF159" s="105"/>
      <c r="IG159" s="105"/>
      <c r="IH159" s="105"/>
      <c r="II159" s="105"/>
      <c r="IJ159" s="105"/>
      <c r="IK159" s="105"/>
      <c r="IL159" s="105"/>
      <c r="IM159" s="105"/>
      <c r="IN159" s="105"/>
      <c r="IO159" s="105"/>
      <c r="IP159" s="105"/>
      <c r="IQ159" s="105"/>
      <c r="IR159" s="105"/>
      <c r="IS159" s="105"/>
      <c r="IT159" s="105"/>
      <c r="IU159" s="105"/>
      <c r="IV159" s="105"/>
    </row>
    <row r="160" s="106" customFormat="1" ht="20.1" customHeight="1" spans="1:256">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c r="CB160" s="105"/>
      <c r="CC160" s="105"/>
      <c r="CD160" s="105"/>
      <c r="CE160" s="105"/>
      <c r="CF160" s="105"/>
      <c r="CG160" s="105"/>
      <c r="CH160" s="105"/>
      <c r="CI160" s="105"/>
      <c r="CJ160" s="105"/>
      <c r="CK160" s="105"/>
      <c r="CL160" s="105"/>
      <c r="CM160" s="105"/>
      <c r="CN160" s="105"/>
      <c r="CO160" s="105"/>
      <c r="CP160" s="105"/>
      <c r="CQ160" s="105"/>
      <c r="CR160" s="105"/>
      <c r="CS160" s="105"/>
      <c r="CT160" s="105"/>
      <c r="CU160" s="105"/>
      <c r="CV160" s="105"/>
      <c r="CW160" s="105"/>
      <c r="CX160" s="105"/>
      <c r="CY160" s="105"/>
      <c r="CZ160" s="105"/>
      <c r="DA160" s="105"/>
      <c r="DB160" s="105"/>
      <c r="DC160" s="105"/>
      <c r="DD160" s="105"/>
      <c r="DE160" s="105"/>
      <c r="DF160" s="105"/>
      <c r="DG160" s="105"/>
      <c r="DH160" s="105"/>
      <c r="DI160" s="105"/>
      <c r="DJ160" s="105"/>
      <c r="DK160" s="105"/>
      <c r="DL160" s="105"/>
      <c r="DM160" s="105"/>
      <c r="DN160" s="105"/>
      <c r="DO160" s="105"/>
      <c r="DP160" s="105"/>
      <c r="DQ160" s="105"/>
      <c r="DR160" s="105"/>
      <c r="DS160" s="105"/>
      <c r="DT160" s="105"/>
      <c r="DU160" s="105"/>
      <c r="DV160" s="105"/>
      <c r="DW160" s="105"/>
      <c r="DX160" s="105"/>
      <c r="DY160" s="105"/>
      <c r="DZ160" s="105"/>
      <c r="EA160" s="105"/>
      <c r="EB160" s="105"/>
      <c r="EC160" s="105"/>
      <c r="ED160" s="105"/>
      <c r="EE160" s="105"/>
      <c r="EF160" s="105"/>
      <c r="EG160" s="105"/>
      <c r="EH160" s="105"/>
      <c r="EI160" s="105"/>
      <c r="EJ160" s="105"/>
      <c r="EK160" s="105"/>
      <c r="EL160" s="105"/>
      <c r="EM160" s="105"/>
      <c r="EN160" s="105"/>
      <c r="EO160" s="105"/>
      <c r="EP160" s="105"/>
      <c r="EQ160" s="105"/>
      <c r="ER160" s="105"/>
      <c r="ES160" s="105"/>
      <c r="ET160" s="105"/>
      <c r="EU160" s="105"/>
      <c r="EV160" s="105"/>
      <c r="EW160" s="105"/>
      <c r="EX160" s="105"/>
      <c r="EY160" s="105"/>
      <c r="EZ160" s="105"/>
      <c r="FA160" s="105"/>
      <c r="FB160" s="105"/>
      <c r="FC160" s="105"/>
      <c r="FD160" s="105"/>
      <c r="FE160" s="105"/>
      <c r="FF160" s="105"/>
      <c r="FG160" s="105"/>
      <c r="FH160" s="105"/>
      <c r="FI160" s="105"/>
      <c r="FJ160" s="105"/>
      <c r="FK160" s="105"/>
      <c r="FL160" s="105"/>
      <c r="FM160" s="105"/>
      <c r="FN160" s="105"/>
      <c r="FO160" s="105"/>
      <c r="FP160" s="105"/>
      <c r="FQ160" s="105"/>
      <c r="FR160" s="105"/>
      <c r="FS160" s="105"/>
      <c r="FT160" s="105"/>
      <c r="FU160" s="105"/>
      <c r="FV160" s="105"/>
      <c r="FW160" s="105"/>
      <c r="FX160" s="105"/>
      <c r="FY160" s="105"/>
      <c r="FZ160" s="105"/>
      <c r="GA160" s="105"/>
      <c r="GB160" s="105"/>
      <c r="GC160" s="105"/>
      <c r="GD160" s="105"/>
      <c r="GE160" s="105"/>
      <c r="GF160" s="105"/>
      <c r="GG160" s="105"/>
      <c r="GH160" s="105"/>
      <c r="GI160" s="105"/>
      <c r="GJ160" s="105"/>
      <c r="GK160" s="105"/>
      <c r="GL160" s="105"/>
      <c r="GM160" s="105"/>
      <c r="GN160" s="105"/>
      <c r="GO160" s="105"/>
      <c r="GP160" s="105"/>
      <c r="GQ160" s="105"/>
      <c r="GR160" s="105"/>
      <c r="GS160" s="105"/>
      <c r="GT160" s="105"/>
      <c r="GU160" s="105"/>
      <c r="GV160" s="105"/>
      <c r="GW160" s="105"/>
      <c r="GX160" s="105"/>
      <c r="GY160" s="105"/>
      <c r="GZ160" s="105"/>
      <c r="HA160" s="105"/>
      <c r="HB160" s="105"/>
      <c r="HC160" s="105"/>
      <c r="HD160" s="105"/>
      <c r="HE160" s="105"/>
      <c r="HF160" s="105"/>
      <c r="HG160" s="105"/>
      <c r="HH160" s="105"/>
      <c r="HI160" s="105"/>
      <c r="HJ160" s="105"/>
      <c r="HK160" s="105"/>
      <c r="HL160" s="105"/>
      <c r="HM160" s="105"/>
      <c r="HN160" s="105"/>
      <c r="HO160" s="105"/>
      <c r="HP160" s="105"/>
      <c r="HQ160" s="105"/>
      <c r="HR160" s="105"/>
      <c r="HS160" s="105"/>
      <c r="HT160" s="105"/>
      <c r="HU160" s="105"/>
      <c r="HV160" s="105"/>
      <c r="HW160" s="105"/>
      <c r="HX160" s="105"/>
      <c r="HY160" s="105"/>
      <c r="HZ160" s="105"/>
      <c r="IA160" s="105"/>
      <c r="IB160" s="105"/>
      <c r="IC160" s="105"/>
      <c r="ID160" s="105"/>
      <c r="IE160" s="105"/>
      <c r="IF160" s="105"/>
      <c r="IG160" s="105"/>
      <c r="IH160" s="105"/>
      <c r="II160" s="105"/>
      <c r="IJ160" s="105"/>
      <c r="IK160" s="105"/>
      <c r="IL160" s="105"/>
      <c r="IM160" s="105"/>
      <c r="IN160" s="105"/>
      <c r="IO160" s="105"/>
      <c r="IP160" s="105"/>
      <c r="IQ160" s="105"/>
      <c r="IR160" s="105"/>
      <c r="IS160" s="105"/>
      <c r="IT160" s="105"/>
      <c r="IU160" s="105"/>
      <c r="IV160" s="105"/>
    </row>
    <row r="161" s="106" customFormat="1" ht="20.1" customHeight="1" spans="1:256">
      <c r="A161" s="105"/>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c r="BP161" s="105"/>
      <c r="BQ161" s="105"/>
      <c r="BR161" s="105"/>
      <c r="BS161" s="105"/>
      <c r="BT161" s="105"/>
      <c r="BU161" s="105"/>
      <c r="BV161" s="105"/>
      <c r="BW161" s="105"/>
      <c r="BX161" s="105"/>
      <c r="BY161" s="105"/>
      <c r="BZ161" s="105"/>
      <c r="CA161" s="105"/>
      <c r="CB161" s="105"/>
      <c r="CC161" s="105"/>
      <c r="CD161" s="105"/>
      <c r="CE161" s="105"/>
      <c r="CF161" s="105"/>
      <c r="CG161" s="105"/>
      <c r="CH161" s="105"/>
      <c r="CI161" s="105"/>
      <c r="CJ161" s="105"/>
      <c r="CK161" s="105"/>
      <c r="CL161" s="105"/>
      <c r="CM161" s="105"/>
      <c r="CN161" s="105"/>
      <c r="CO161" s="105"/>
      <c r="CP161" s="105"/>
      <c r="CQ161" s="105"/>
      <c r="CR161" s="105"/>
      <c r="CS161" s="105"/>
      <c r="CT161" s="105"/>
      <c r="CU161" s="105"/>
      <c r="CV161" s="105"/>
      <c r="CW161" s="105"/>
      <c r="CX161" s="105"/>
      <c r="CY161" s="105"/>
      <c r="CZ161" s="105"/>
      <c r="DA161" s="105"/>
      <c r="DB161" s="105"/>
      <c r="DC161" s="105"/>
      <c r="DD161" s="105"/>
      <c r="DE161" s="105"/>
      <c r="DF161" s="105"/>
      <c r="DG161" s="105"/>
      <c r="DH161" s="105"/>
      <c r="DI161" s="105"/>
      <c r="DJ161" s="105"/>
      <c r="DK161" s="105"/>
      <c r="DL161" s="105"/>
      <c r="DM161" s="105"/>
      <c r="DN161" s="105"/>
      <c r="DO161" s="105"/>
      <c r="DP161" s="105"/>
      <c r="DQ161" s="105"/>
      <c r="DR161" s="105"/>
      <c r="DS161" s="105"/>
      <c r="DT161" s="105"/>
      <c r="DU161" s="105"/>
      <c r="DV161" s="105"/>
      <c r="DW161" s="105"/>
      <c r="DX161" s="105"/>
      <c r="DY161" s="105"/>
      <c r="DZ161" s="105"/>
      <c r="EA161" s="105"/>
      <c r="EB161" s="105"/>
      <c r="EC161" s="105"/>
      <c r="ED161" s="105"/>
      <c r="EE161" s="105"/>
      <c r="EF161" s="105"/>
      <c r="EG161" s="105"/>
      <c r="EH161" s="105"/>
      <c r="EI161" s="105"/>
      <c r="EJ161" s="105"/>
      <c r="EK161" s="105"/>
      <c r="EL161" s="105"/>
      <c r="EM161" s="105"/>
      <c r="EN161" s="105"/>
      <c r="EO161" s="105"/>
      <c r="EP161" s="105"/>
      <c r="EQ161" s="105"/>
      <c r="ER161" s="105"/>
      <c r="ES161" s="105"/>
      <c r="ET161" s="105"/>
      <c r="EU161" s="105"/>
      <c r="EV161" s="105"/>
      <c r="EW161" s="105"/>
      <c r="EX161" s="105"/>
      <c r="EY161" s="105"/>
      <c r="EZ161" s="105"/>
      <c r="FA161" s="105"/>
      <c r="FB161" s="105"/>
      <c r="FC161" s="105"/>
      <c r="FD161" s="105"/>
      <c r="FE161" s="105"/>
      <c r="FF161" s="105"/>
      <c r="FG161" s="105"/>
      <c r="FH161" s="105"/>
      <c r="FI161" s="105"/>
      <c r="FJ161" s="105"/>
      <c r="FK161" s="105"/>
      <c r="FL161" s="105"/>
      <c r="FM161" s="105"/>
      <c r="FN161" s="105"/>
      <c r="FO161" s="105"/>
      <c r="FP161" s="105"/>
      <c r="FQ161" s="105"/>
      <c r="FR161" s="105"/>
      <c r="FS161" s="105"/>
      <c r="FT161" s="105"/>
      <c r="FU161" s="105"/>
      <c r="FV161" s="105"/>
      <c r="FW161" s="105"/>
      <c r="FX161" s="105"/>
      <c r="FY161" s="105"/>
      <c r="FZ161" s="105"/>
      <c r="GA161" s="105"/>
      <c r="GB161" s="105"/>
      <c r="GC161" s="105"/>
      <c r="GD161" s="105"/>
      <c r="GE161" s="105"/>
      <c r="GF161" s="105"/>
      <c r="GG161" s="105"/>
      <c r="GH161" s="105"/>
      <c r="GI161" s="105"/>
      <c r="GJ161" s="105"/>
      <c r="GK161" s="105"/>
      <c r="GL161" s="105"/>
      <c r="GM161" s="105"/>
      <c r="GN161" s="105"/>
      <c r="GO161" s="105"/>
      <c r="GP161" s="105"/>
      <c r="GQ161" s="105"/>
      <c r="GR161" s="105"/>
      <c r="GS161" s="105"/>
      <c r="GT161" s="105"/>
      <c r="GU161" s="105"/>
      <c r="GV161" s="105"/>
      <c r="GW161" s="105"/>
      <c r="GX161" s="105"/>
      <c r="GY161" s="105"/>
      <c r="GZ161" s="105"/>
      <c r="HA161" s="105"/>
      <c r="HB161" s="105"/>
      <c r="HC161" s="105"/>
      <c r="HD161" s="105"/>
      <c r="HE161" s="105"/>
      <c r="HF161" s="105"/>
      <c r="HG161" s="105"/>
      <c r="HH161" s="105"/>
      <c r="HI161" s="105"/>
      <c r="HJ161" s="105"/>
      <c r="HK161" s="105"/>
      <c r="HL161" s="105"/>
      <c r="HM161" s="105"/>
      <c r="HN161" s="105"/>
      <c r="HO161" s="105"/>
      <c r="HP161" s="105"/>
      <c r="HQ161" s="105"/>
      <c r="HR161" s="105"/>
      <c r="HS161" s="105"/>
      <c r="HT161" s="105"/>
      <c r="HU161" s="105"/>
      <c r="HV161" s="105"/>
      <c r="HW161" s="105"/>
      <c r="HX161" s="105"/>
      <c r="HY161" s="105"/>
      <c r="HZ161" s="105"/>
      <c r="IA161" s="105"/>
      <c r="IB161" s="105"/>
      <c r="IC161" s="105"/>
      <c r="ID161" s="105"/>
      <c r="IE161" s="105"/>
      <c r="IF161" s="105"/>
      <c r="IG161" s="105"/>
      <c r="IH161" s="105"/>
      <c r="II161" s="105"/>
      <c r="IJ161" s="105"/>
      <c r="IK161" s="105"/>
      <c r="IL161" s="105"/>
      <c r="IM161" s="105"/>
      <c r="IN161" s="105"/>
      <c r="IO161" s="105"/>
      <c r="IP161" s="105"/>
      <c r="IQ161" s="105"/>
      <c r="IR161" s="105"/>
      <c r="IS161" s="105"/>
      <c r="IT161" s="105"/>
      <c r="IU161" s="105"/>
      <c r="IV161" s="105"/>
    </row>
    <row r="162" s="106" customFormat="1" ht="20.1" customHeight="1" spans="1:256">
      <c r="A162" s="105"/>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c r="BP162" s="105"/>
      <c r="BQ162" s="105"/>
      <c r="BR162" s="105"/>
      <c r="BS162" s="105"/>
      <c r="BT162" s="105"/>
      <c r="BU162" s="105"/>
      <c r="BV162" s="105"/>
      <c r="BW162" s="105"/>
      <c r="BX162" s="105"/>
      <c r="BY162" s="105"/>
      <c r="BZ162" s="105"/>
      <c r="CA162" s="105"/>
      <c r="CB162" s="105"/>
      <c r="CC162" s="105"/>
      <c r="CD162" s="105"/>
      <c r="CE162" s="105"/>
      <c r="CF162" s="105"/>
      <c r="CG162" s="105"/>
      <c r="CH162" s="105"/>
      <c r="CI162" s="105"/>
      <c r="CJ162" s="105"/>
      <c r="CK162" s="105"/>
      <c r="CL162" s="105"/>
      <c r="CM162" s="105"/>
      <c r="CN162" s="105"/>
      <c r="CO162" s="105"/>
      <c r="CP162" s="105"/>
      <c r="CQ162" s="105"/>
      <c r="CR162" s="105"/>
      <c r="CS162" s="105"/>
      <c r="CT162" s="105"/>
      <c r="CU162" s="105"/>
      <c r="CV162" s="105"/>
      <c r="CW162" s="105"/>
      <c r="CX162" s="105"/>
      <c r="CY162" s="105"/>
      <c r="CZ162" s="105"/>
      <c r="DA162" s="105"/>
      <c r="DB162" s="105"/>
      <c r="DC162" s="105"/>
      <c r="DD162" s="105"/>
      <c r="DE162" s="105"/>
      <c r="DF162" s="105"/>
      <c r="DG162" s="105"/>
      <c r="DH162" s="105"/>
      <c r="DI162" s="105"/>
      <c r="DJ162" s="105"/>
      <c r="DK162" s="105"/>
      <c r="DL162" s="105"/>
      <c r="DM162" s="105"/>
      <c r="DN162" s="105"/>
      <c r="DO162" s="105"/>
      <c r="DP162" s="105"/>
      <c r="DQ162" s="105"/>
      <c r="DR162" s="105"/>
      <c r="DS162" s="105"/>
      <c r="DT162" s="105"/>
      <c r="DU162" s="105"/>
      <c r="DV162" s="105"/>
      <c r="DW162" s="105"/>
      <c r="DX162" s="105"/>
      <c r="DY162" s="105"/>
      <c r="DZ162" s="105"/>
      <c r="EA162" s="105"/>
      <c r="EB162" s="105"/>
      <c r="EC162" s="105"/>
      <c r="ED162" s="105"/>
      <c r="EE162" s="105"/>
      <c r="EF162" s="105"/>
      <c r="EG162" s="105"/>
      <c r="EH162" s="105"/>
      <c r="EI162" s="105"/>
      <c r="EJ162" s="105"/>
      <c r="EK162" s="105"/>
      <c r="EL162" s="105"/>
      <c r="EM162" s="105"/>
      <c r="EN162" s="105"/>
      <c r="EO162" s="105"/>
      <c r="EP162" s="105"/>
      <c r="EQ162" s="105"/>
      <c r="ER162" s="105"/>
      <c r="ES162" s="105"/>
      <c r="ET162" s="105"/>
      <c r="EU162" s="105"/>
      <c r="EV162" s="105"/>
      <c r="EW162" s="105"/>
      <c r="EX162" s="105"/>
      <c r="EY162" s="105"/>
      <c r="EZ162" s="105"/>
      <c r="FA162" s="105"/>
      <c r="FB162" s="105"/>
      <c r="FC162" s="105"/>
      <c r="FD162" s="105"/>
      <c r="FE162" s="105"/>
      <c r="FF162" s="105"/>
      <c r="FG162" s="105"/>
      <c r="FH162" s="105"/>
      <c r="FI162" s="105"/>
      <c r="FJ162" s="105"/>
      <c r="FK162" s="105"/>
      <c r="FL162" s="105"/>
      <c r="FM162" s="105"/>
      <c r="FN162" s="105"/>
      <c r="FO162" s="105"/>
      <c r="FP162" s="105"/>
      <c r="FQ162" s="105"/>
      <c r="FR162" s="105"/>
      <c r="FS162" s="105"/>
      <c r="FT162" s="105"/>
      <c r="FU162" s="105"/>
      <c r="FV162" s="105"/>
      <c r="FW162" s="105"/>
      <c r="FX162" s="105"/>
      <c r="FY162" s="105"/>
      <c r="FZ162" s="105"/>
      <c r="GA162" s="105"/>
      <c r="GB162" s="105"/>
      <c r="GC162" s="105"/>
      <c r="GD162" s="105"/>
      <c r="GE162" s="105"/>
      <c r="GF162" s="105"/>
      <c r="GG162" s="105"/>
      <c r="GH162" s="105"/>
      <c r="GI162" s="105"/>
      <c r="GJ162" s="105"/>
      <c r="GK162" s="105"/>
      <c r="GL162" s="105"/>
      <c r="GM162" s="105"/>
      <c r="GN162" s="105"/>
      <c r="GO162" s="105"/>
      <c r="GP162" s="105"/>
      <c r="GQ162" s="105"/>
      <c r="GR162" s="105"/>
      <c r="GS162" s="105"/>
      <c r="GT162" s="105"/>
      <c r="GU162" s="105"/>
      <c r="GV162" s="105"/>
      <c r="GW162" s="105"/>
      <c r="GX162" s="105"/>
      <c r="GY162" s="105"/>
      <c r="GZ162" s="105"/>
      <c r="HA162" s="105"/>
      <c r="HB162" s="105"/>
      <c r="HC162" s="105"/>
      <c r="HD162" s="105"/>
      <c r="HE162" s="105"/>
      <c r="HF162" s="105"/>
      <c r="HG162" s="105"/>
      <c r="HH162" s="105"/>
      <c r="HI162" s="105"/>
      <c r="HJ162" s="105"/>
      <c r="HK162" s="105"/>
      <c r="HL162" s="105"/>
      <c r="HM162" s="105"/>
      <c r="HN162" s="105"/>
      <c r="HO162" s="105"/>
      <c r="HP162" s="105"/>
      <c r="HQ162" s="105"/>
      <c r="HR162" s="105"/>
      <c r="HS162" s="105"/>
      <c r="HT162" s="105"/>
      <c r="HU162" s="105"/>
      <c r="HV162" s="105"/>
      <c r="HW162" s="105"/>
      <c r="HX162" s="105"/>
      <c r="HY162" s="105"/>
      <c r="HZ162" s="105"/>
      <c r="IA162" s="105"/>
      <c r="IB162" s="105"/>
      <c r="IC162" s="105"/>
      <c r="ID162" s="105"/>
      <c r="IE162" s="105"/>
      <c r="IF162" s="105"/>
      <c r="IG162" s="105"/>
      <c r="IH162" s="105"/>
      <c r="II162" s="105"/>
      <c r="IJ162" s="105"/>
      <c r="IK162" s="105"/>
      <c r="IL162" s="105"/>
      <c r="IM162" s="105"/>
      <c r="IN162" s="105"/>
      <c r="IO162" s="105"/>
      <c r="IP162" s="105"/>
      <c r="IQ162" s="105"/>
      <c r="IR162" s="105"/>
      <c r="IS162" s="105"/>
      <c r="IT162" s="105"/>
      <c r="IU162" s="105"/>
      <c r="IV162" s="105"/>
    </row>
    <row r="163" s="106" customFormat="1" ht="20.1" customHeight="1" spans="1:256">
      <c r="A163" s="105"/>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c r="BP163" s="105"/>
      <c r="BQ163" s="105"/>
      <c r="BR163" s="105"/>
      <c r="BS163" s="105"/>
      <c r="BT163" s="105"/>
      <c r="BU163" s="105"/>
      <c r="BV163" s="105"/>
      <c r="BW163" s="105"/>
      <c r="BX163" s="105"/>
      <c r="BY163" s="105"/>
      <c r="BZ163" s="105"/>
      <c r="CA163" s="105"/>
      <c r="CB163" s="105"/>
      <c r="CC163" s="105"/>
      <c r="CD163" s="105"/>
      <c r="CE163" s="105"/>
      <c r="CF163" s="105"/>
      <c r="CG163" s="105"/>
      <c r="CH163" s="105"/>
      <c r="CI163" s="105"/>
      <c r="CJ163" s="105"/>
      <c r="CK163" s="105"/>
      <c r="CL163" s="105"/>
      <c r="CM163" s="105"/>
      <c r="CN163" s="105"/>
      <c r="CO163" s="105"/>
      <c r="CP163" s="105"/>
      <c r="CQ163" s="105"/>
      <c r="CR163" s="105"/>
      <c r="CS163" s="105"/>
      <c r="CT163" s="105"/>
      <c r="CU163" s="105"/>
      <c r="CV163" s="105"/>
      <c r="CW163" s="105"/>
      <c r="CX163" s="105"/>
      <c r="CY163" s="105"/>
      <c r="CZ163" s="105"/>
      <c r="DA163" s="105"/>
      <c r="DB163" s="105"/>
      <c r="DC163" s="105"/>
      <c r="DD163" s="105"/>
      <c r="DE163" s="105"/>
      <c r="DF163" s="105"/>
      <c r="DG163" s="105"/>
      <c r="DH163" s="105"/>
      <c r="DI163" s="105"/>
      <c r="DJ163" s="105"/>
      <c r="DK163" s="105"/>
      <c r="DL163" s="105"/>
      <c r="DM163" s="105"/>
      <c r="DN163" s="105"/>
      <c r="DO163" s="105"/>
      <c r="DP163" s="105"/>
      <c r="DQ163" s="105"/>
      <c r="DR163" s="105"/>
      <c r="DS163" s="105"/>
      <c r="DT163" s="105"/>
      <c r="DU163" s="105"/>
      <c r="DV163" s="105"/>
      <c r="DW163" s="105"/>
      <c r="DX163" s="105"/>
      <c r="DY163" s="105"/>
      <c r="DZ163" s="105"/>
      <c r="EA163" s="105"/>
      <c r="EB163" s="105"/>
      <c r="EC163" s="105"/>
      <c r="ED163" s="105"/>
      <c r="EE163" s="105"/>
      <c r="EF163" s="105"/>
      <c r="EG163" s="105"/>
      <c r="EH163" s="105"/>
      <c r="EI163" s="105"/>
      <c r="EJ163" s="105"/>
      <c r="EK163" s="105"/>
      <c r="EL163" s="105"/>
      <c r="EM163" s="105"/>
      <c r="EN163" s="105"/>
      <c r="EO163" s="105"/>
      <c r="EP163" s="105"/>
      <c r="EQ163" s="105"/>
      <c r="ER163" s="105"/>
      <c r="ES163" s="105"/>
      <c r="ET163" s="105"/>
      <c r="EU163" s="105"/>
      <c r="EV163" s="105"/>
      <c r="EW163" s="105"/>
      <c r="EX163" s="105"/>
      <c r="EY163" s="105"/>
      <c r="EZ163" s="105"/>
      <c r="FA163" s="105"/>
      <c r="FB163" s="105"/>
      <c r="FC163" s="105"/>
      <c r="FD163" s="105"/>
      <c r="FE163" s="105"/>
      <c r="FF163" s="105"/>
      <c r="FG163" s="105"/>
      <c r="FH163" s="105"/>
      <c r="FI163" s="105"/>
      <c r="FJ163" s="105"/>
      <c r="FK163" s="105"/>
      <c r="FL163" s="105"/>
      <c r="FM163" s="105"/>
      <c r="FN163" s="105"/>
      <c r="FO163" s="105"/>
      <c r="FP163" s="105"/>
      <c r="FQ163" s="105"/>
      <c r="FR163" s="105"/>
      <c r="FS163" s="105"/>
      <c r="FT163" s="105"/>
      <c r="FU163" s="105"/>
      <c r="FV163" s="105"/>
      <c r="FW163" s="105"/>
      <c r="FX163" s="105"/>
      <c r="FY163" s="105"/>
      <c r="FZ163" s="105"/>
      <c r="GA163" s="105"/>
      <c r="GB163" s="105"/>
      <c r="GC163" s="105"/>
      <c r="GD163" s="105"/>
      <c r="GE163" s="105"/>
      <c r="GF163" s="105"/>
      <c r="GG163" s="105"/>
      <c r="GH163" s="105"/>
      <c r="GI163" s="105"/>
      <c r="GJ163" s="105"/>
      <c r="GK163" s="105"/>
      <c r="GL163" s="105"/>
      <c r="GM163" s="105"/>
      <c r="GN163" s="105"/>
      <c r="GO163" s="105"/>
      <c r="GP163" s="105"/>
      <c r="GQ163" s="105"/>
      <c r="GR163" s="105"/>
      <c r="GS163" s="105"/>
      <c r="GT163" s="105"/>
      <c r="GU163" s="105"/>
      <c r="GV163" s="105"/>
      <c r="GW163" s="105"/>
      <c r="GX163" s="105"/>
      <c r="GY163" s="105"/>
      <c r="GZ163" s="105"/>
      <c r="HA163" s="105"/>
      <c r="HB163" s="105"/>
      <c r="HC163" s="105"/>
      <c r="HD163" s="105"/>
      <c r="HE163" s="105"/>
      <c r="HF163" s="105"/>
      <c r="HG163" s="105"/>
      <c r="HH163" s="105"/>
      <c r="HI163" s="105"/>
      <c r="HJ163" s="105"/>
      <c r="HK163" s="105"/>
      <c r="HL163" s="105"/>
      <c r="HM163" s="105"/>
      <c r="HN163" s="105"/>
      <c r="HO163" s="105"/>
      <c r="HP163" s="105"/>
      <c r="HQ163" s="105"/>
      <c r="HR163" s="105"/>
      <c r="HS163" s="105"/>
      <c r="HT163" s="105"/>
      <c r="HU163" s="105"/>
      <c r="HV163" s="105"/>
      <c r="HW163" s="105"/>
      <c r="HX163" s="105"/>
      <c r="HY163" s="105"/>
      <c r="HZ163" s="105"/>
      <c r="IA163" s="105"/>
      <c r="IB163" s="105"/>
      <c r="IC163" s="105"/>
      <c r="ID163" s="105"/>
      <c r="IE163" s="105"/>
      <c r="IF163" s="105"/>
      <c r="IG163" s="105"/>
      <c r="IH163" s="105"/>
      <c r="II163" s="105"/>
      <c r="IJ163" s="105"/>
      <c r="IK163" s="105"/>
      <c r="IL163" s="105"/>
      <c r="IM163" s="105"/>
      <c r="IN163" s="105"/>
      <c r="IO163" s="105"/>
      <c r="IP163" s="105"/>
      <c r="IQ163" s="105"/>
      <c r="IR163" s="105"/>
      <c r="IS163" s="105"/>
      <c r="IT163" s="105"/>
      <c r="IU163" s="105"/>
      <c r="IV163" s="105"/>
    </row>
    <row r="164" s="106" customFormat="1" ht="20.1" customHeight="1" spans="1:256">
      <c r="A164" s="10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5"/>
      <c r="BN164" s="105"/>
      <c r="BO164" s="105"/>
      <c r="BP164" s="105"/>
      <c r="BQ164" s="105"/>
      <c r="BR164" s="105"/>
      <c r="BS164" s="105"/>
      <c r="BT164" s="105"/>
      <c r="BU164" s="105"/>
      <c r="BV164" s="105"/>
      <c r="BW164" s="105"/>
      <c r="BX164" s="105"/>
      <c r="BY164" s="105"/>
      <c r="BZ164" s="105"/>
      <c r="CA164" s="105"/>
      <c r="CB164" s="105"/>
      <c r="CC164" s="105"/>
      <c r="CD164" s="105"/>
      <c r="CE164" s="105"/>
      <c r="CF164" s="105"/>
      <c r="CG164" s="105"/>
      <c r="CH164" s="105"/>
      <c r="CI164" s="105"/>
      <c r="CJ164" s="105"/>
      <c r="CK164" s="105"/>
      <c r="CL164" s="105"/>
      <c r="CM164" s="105"/>
      <c r="CN164" s="105"/>
      <c r="CO164" s="105"/>
      <c r="CP164" s="105"/>
      <c r="CQ164" s="105"/>
      <c r="CR164" s="105"/>
      <c r="CS164" s="105"/>
      <c r="CT164" s="105"/>
      <c r="CU164" s="105"/>
      <c r="CV164" s="105"/>
      <c r="CW164" s="105"/>
      <c r="CX164" s="105"/>
      <c r="CY164" s="105"/>
      <c r="CZ164" s="105"/>
      <c r="DA164" s="105"/>
      <c r="DB164" s="105"/>
      <c r="DC164" s="105"/>
      <c r="DD164" s="105"/>
      <c r="DE164" s="105"/>
      <c r="DF164" s="105"/>
      <c r="DG164" s="105"/>
      <c r="DH164" s="105"/>
      <c r="DI164" s="105"/>
      <c r="DJ164" s="105"/>
      <c r="DK164" s="105"/>
      <c r="DL164" s="105"/>
      <c r="DM164" s="105"/>
      <c r="DN164" s="105"/>
      <c r="DO164" s="105"/>
      <c r="DP164" s="105"/>
      <c r="DQ164" s="105"/>
      <c r="DR164" s="105"/>
      <c r="DS164" s="105"/>
      <c r="DT164" s="105"/>
      <c r="DU164" s="105"/>
      <c r="DV164" s="105"/>
      <c r="DW164" s="105"/>
      <c r="DX164" s="105"/>
      <c r="DY164" s="105"/>
      <c r="DZ164" s="105"/>
      <c r="EA164" s="105"/>
      <c r="EB164" s="105"/>
      <c r="EC164" s="105"/>
      <c r="ED164" s="105"/>
      <c r="EE164" s="105"/>
      <c r="EF164" s="105"/>
      <c r="EG164" s="105"/>
      <c r="EH164" s="105"/>
      <c r="EI164" s="105"/>
      <c r="EJ164" s="105"/>
      <c r="EK164" s="105"/>
      <c r="EL164" s="105"/>
      <c r="EM164" s="105"/>
      <c r="EN164" s="105"/>
      <c r="EO164" s="105"/>
      <c r="EP164" s="105"/>
      <c r="EQ164" s="105"/>
      <c r="ER164" s="105"/>
      <c r="ES164" s="105"/>
      <c r="ET164" s="105"/>
      <c r="EU164" s="105"/>
      <c r="EV164" s="105"/>
      <c r="EW164" s="105"/>
      <c r="EX164" s="105"/>
      <c r="EY164" s="105"/>
      <c r="EZ164" s="105"/>
      <c r="FA164" s="105"/>
      <c r="FB164" s="105"/>
      <c r="FC164" s="105"/>
      <c r="FD164" s="105"/>
      <c r="FE164" s="105"/>
      <c r="FF164" s="105"/>
      <c r="FG164" s="105"/>
      <c r="FH164" s="105"/>
      <c r="FI164" s="105"/>
      <c r="FJ164" s="105"/>
      <c r="FK164" s="105"/>
      <c r="FL164" s="105"/>
      <c r="FM164" s="105"/>
      <c r="FN164" s="105"/>
      <c r="FO164" s="105"/>
      <c r="FP164" s="105"/>
      <c r="FQ164" s="105"/>
      <c r="FR164" s="105"/>
      <c r="FS164" s="105"/>
      <c r="FT164" s="105"/>
      <c r="FU164" s="105"/>
      <c r="FV164" s="105"/>
      <c r="FW164" s="105"/>
      <c r="FX164" s="105"/>
      <c r="FY164" s="105"/>
      <c r="FZ164" s="105"/>
      <c r="GA164" s="105"/>
      <c r="GB164" s="105"/>
      <c r="GC164" s="105"/>
      <c r="GD164" s="105"/>
      <c r="GE164" s="105"/>
      <c r="GF164" s="105"/>
      <c r="GG164" s="105"/>
      <c r="GH164" s="105"/>
      <c r="GI164" s="105"/>
      <c r="GJ164" s="105"/>
      <c r="GK164" s="105"/>
      <c r="GL164" s="105"/>
      <c r="GM164" s="105"/>
      <c r="GN164" s="105"/>
      <c r="GO164" s="105"/>
      <c r="GP164" s="105"/>
      <c r="GQ164" s="105"/>
      <c r="GR164" s="105"/>
      <c r="GS164" s="105"/>
      <c r="GT164" s="105"/>
      <c r="GU164" s="105"/>
      <c r="GV164" s="105"/>
      <c r="GW164" s="105"/>
      <c r="GX164" s="105"/>
      <c r="GY164" s="105"/>
      <c r="GZ164" s="105"/>
      <c r="HA164" s="105"/>
      <c r="HB164" s="105"/>
      <c r="HC164" s="105"/>
      <c r="HD164" s="105"/>
      <c r="HE164" s="105"/>
      <c r="HF164" s="105"/>
      <c r="HG164" s="105"/>
      <c r="HH164" s="105"/>
      <c r="HI164" s="105"/>
      <c r="HJ164" s="105"/>
      <c r="HK164" s="105"/>
      <c r="HL164" s="105"/>
      <c r="HM164" s="105"/>
      <c r="HN164" s="105"/>
      <c r="HO164" s="105"/>
      <c r="HP164" s="105"/>
      <c r="HQ164" s="105"/>
      <c r="HR164" s="105"/>
      <c r="HS164" s="105"/>
      <c r="HT164" s="105"/>
      <c r="HU164" s="105"/>
      <c r="HV164" s="105"/>
      <c r="HW164" s="105"/>
      <c r="HX164" s="105"/>
      <c r="HY164" s="105"/>
      <c r="HZ164" s="105"/>
      <c r="IA164" s="105"/>
      <c r="IB164" s="105"/>
      <c r="IC164" s="105"/>
      <c r="ID164" s="105"/>
      <c r="IE164" s="105"/>
      <c r="IF164" s="105"/>
      <c r="IG164" s="105"/>
      <c r="IH164" s="105"/>
      <c r="II164" s="105"/>
      <c r="IJ164" s="105"/>
      <c r="IK164" s="105"/>
      <c r="IL164" s="105"/>
      <c r="IM164" s="105"/>
      <c r="IN164" s="105"/>
      <c r="IO164" s="105"/>
      <c r="IP164" s="105"/>
      <c r="IQ164" s="105"/>
      <c r="IR164" s="105"/>
      <c r="IS164" s="105"/>
      <c r="IT164" s="105"/>
      <c r="IU164" s="105"/>
      <c r="IV164" s="105"/>
    </row>
    <row r="165" s="106" customFormat="1" ht="20.1" customHeight="1" spans="1:256">
      <c r="A165" s="105"/>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5"/>
      <c r="BS165" s="105"/>
      <c r="BT165" s="105"/>
      <c r="BU165" s="105"/>
      <c r="BV165" s="105"/>
      <c r="BW165" s="105"/>
      <c r="BX165" s="105"/>
      <c r="BY165" s="105"/>
      <c r="BZ165" s="105"/>
      <c r="CA165" s="105"/>
      <c r="CB165" s="105"/>
      <c r="CC165" s="105"/>
      <c r="CD165" s="105"/>
      <c r="CE165" s="105"/>
      <c r="CF165" s="105"/>
      <c r="CG165" s="105"/>
      <c r="CH165" s="105"/>
      <c r="CI165" s="105"/>
      <c r="CJ165" s="105"/>
      <c r="CK165" s="105"/>
      <c r="CL165" s="105"/>
      <c r="CM165" s="105"/>
      <c r="CN165" s="105"/>
      <c r="CO165" s="105"/>
      <c r="CP165" s="105"/>
      <c r="CQ165" s="105"/>
      <c r="CR165" s="105"/>
      <c r="CS165" s="105"/>
      <c r="CT165" s="105"/>
      <c r="CU165" s="105"/>
      <c r="CV165" s="105"/>
      <c r="CW165" s="105"/>
      <c r="CX165" s="105"/>
      <c r="CY165" s="105"/>
      <c r="CZ165" s="105"/>
      <c r="DA165" s="105"/>
      <c r="DB165" s="105"/>
      <c r="DC165" s="105"/>
      <c r="DD165" s="105"/>
      <c r="DE165" s="105"/>
      <c r="DF165" s="105"/>
      <c r="DG165" s="105"/>
      <c r="DH165" s="105"/>
      <c r="DI165" s="105"/>
      <c r="DJ165" s="105"/>
      <c r="DK165" s="105"/>
      <c r="DL165" s="105"/>
      <c r="DM165" s="105"/>
      <c r="DN165" s="105"/>
      <c r="DO165" s="105"/>
      <c r="DP165" s="105"/>
      <c r="DQ165" s="105"/>
      <c r="DR165" s="105"/>
      <c r="DS165" s="105"/>
      <c r="DT165" s="105"/>
      <c r="DU165" s="105"/>
      <c r="DV165" s="105"/>
      <c r="DW165" s="105"/>
      <c r="DX165" s="105"/>
      <c r="DY165" s="105"/>
      <c r="DZ165" s="105"/>
      <c r="EA165" s="105"/>
      <c r="EB165" s="105"/>
      <c r="EC165" s="105"/>
      <c r="ED165" s="105"/>
      <c r="EE165" s="105"/>
      <c r="EF165" s="105"/>
      <c r="EG165" s="105"/>
      <c r="EH165" s="105"/>
      <c r="EI165" s="105"/>
      <c r="EJ165" s="105"/>
      <c r="EK165" s="105"/>
      <c r="EL165" s="105"/>
      <c r="EM165" s="105"/>
      <c r="EN165" s="105"/>
      <c r="EO165" s="105"/>
      <c r="EP165" s="105"/>
      <c r="EQ165" s="105"/>
      <c r="ER165" s="105"/>
      <c r="ES165" s="105"/>
      <c r="ET165" s="105"/>
      <c r="EU165" s="105"/>
      <c r="EV165" s="105"/>
      <c r="EW165" s="105"/>
      <c r="EX165" s="105"/>
      <c r="EY165" s="105"/>
      <c r="EZ165" s="105"/>
      <c r="FA165" s="105"/>
      <c r="FB165" s="105"/>
      <c r="FC165" s="105"/>
      <c r="FD165" s="105"/>
      <c r="FE165" s="105"/>
      <c r="FF165" s="105"/>
      <c r="FG165" s="105"/>
      <c r="FH165" s="105"/>
      <c r="FI165" s="105"/>
      <c r="FJ165" s="105"/>
      <c r="FK165" s="105"/>
      <c r="FL165" s="105"/>
      <c r="FM165" s="105"/>
      <c r="FN165" s="105"/>
      <c r="FO165" s="105"/>
      <c r="FP165" s="105"/>
      <c r="FQ165" s="105"/>
      <c r="FR165" s="105"/>
      <c r="FS165" s="105"/>
      <c r="FT165" s="105"/>
      <c r="FU165" s="105"/>
      <c r="FV165" s="105"/>
      <c r="FW165" s="105"/>
      <c r="FX165" s="105"/>
      <c r="FY165" s="105"/>
      <c r="FZ165" s="105"/>
      <c r="GA165" s="105"/>
      <c r="GB165" s="105"/>
      <c r="GC165" s="105"/>
      <c r="GD165" s="105"/>
      <c r="GE165" s="105"/>
      <c r="GF165" s="105"/>
      <c r="GG165" s="105"/>
      <c r="GH165" s="105"/>
      <c r="GI165" s="105"/>
      <c r="GJ165" s="105"/>
      <c r="GK165" s="105"/>
      <c r="GL165" s="105"/>
      <c r="GM165" s="105"/>
      <c r="GN165" s="105"/>
      <c r="GO165" s="105"/>
      <c r="GP165" s="105"/>
      <c r="GQ165" s="105"/>
      <c r="GR165" s="105"/>
      <c r="GS165" s="105"/>
      <c r="GT165" s="105"/>
      <c r="GU165" s="105"/>
      <c r="GV165" s="105"/>
      <c r="GW165" s="105"/>
      <c r="GX165" s="105"/>
      <c r="GY165" s="105"/>
      <c r="GZ165" s="105"/>
      <c r="HA165" s="105"/>
      <c r="HB165" s="105"/>
      <c r="HC165" s="105"/>
      <c r="HD165" s="105"/>
      <c r="HE165" s="105"/>
      <c r="HF165" s="105"/>
      <c r="HG165" s="105"/>
      <c r="HH165" s="105"/>
      <c r="HI165" s="105"/>
      <c r="HJ165" s="105"/>
      <c r="HK165" s="105"/>
      <c r="HL165" s="105"/>
      <c r="HM165" s="105"/>
      <c r="HN165" s="105"/>
      <c r="HO165" s="105"/>
      <c r="HP165" s="105"/>
      <c r="HQ165" s="105"/>
      <c r="HR165" s="105"/>
      <c r="HS165" s="105"/>
      <c r="HT165" s="105"/>
      <c r="HU165" s="105"/>
      <c r="HV165" s="105"/>
      <c r="HW165" s="105"/>
      <c r="HX165" s="105"/>
      <c r="HY165" s="105"/>
      <c r="HZ165" s="105"/>
      <c r="IA165" s="105"/>
      <c r="IB165" s="105"/>
      <c r="IC165" s="105"/>
      <c r="ID165" s="105"/>
      <c r="IE165" s="105"/>
      <c r="IF165" s="105"/>
      <c r="IG165" s="105"/>
      <c r="IH165" s="105"/>
      <c r="II165" s="105"/>
      <c r="IJ165" s="105"/>
      <c r="IK165" s="105"/>
      <c r="IL165" s="105"/>
      <c r="IM165" s="105"/>
      <c r="IN165" s="105"/>
      <c r="IO165" s="105"/>
      <c r="IP165" s="105"/>
      <c r="IQ165" s="105"/>
      <c r="IR165" s="105"/>
      <c r="IS165" s="105"/>
      <c r="IT165" s="105"/>
      <c r="IU165" s="105"/>
      <c r="IV165" s="105"/>
    </row>
    <row r="166" s="106" customFormat="1" ht="20.1" customHeight="1" spans="1:256">
      <c r="A166" s="105"/>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5"/>
      <c r="BN166" s="105"/>
      <c r="BO166" s="105"/>
      <c r="BP166" s="105"/>
      <c r="BQ166" s="105"/>
      <c r="BR166" s="105"/>
      <c r="BS166" s="105"/>
      <c r="BT166" s="105"/>
      <c r="BU166" s="105"/>
      <c r="BV166" s="105"/>
      <c r="BW166" s="105"/>
      <c r="BX166" s="105"/>
      <c r="BY166" s="105"/>
      <c r="BZ166" s="105"/>
      <c r="CA166" s="105"/>
      <c r="CB166" s="105"/>
      <c r="CC166" s="105"/>
      <c r="CD166" s="105"/>
      <c r="CE166" s="105"/>
      <c r="CF166" s="105"/>
      <c r="CG166" s="105"/>
      <c r="CH166" s="105"/>
      <c r="CI166" s="105"/>
      <c r="CJ166" s="105"/>
      <c r="CK166" s="105"/>
      <c r="CL166" s="105"/>
      <c r="CM166" s="105"/>
      <c r="CN166" s="105"/>
      <c r="CO166" s="105"/>
      <c r="CP166" s="105"/>
      <c r="CQ166" s="105"/>
      <c r="CR166" s="105"/>
      <c r="CS166" s="105"/>
      <c r="CT166" s="105"/>
      <c r="CU166" s="105"/>
      <c r="CV166" s="105"/>
      <c r="CW166" s="105"/>
      <c r="CX166" s="105"/>
      <c r="CY166" s="105"/>
      <c r="CZ166" s="105"/>
      <c r="DA166" s="105"/>
      <c r="DB166" s="105"/>
      <c r="DC166" s="105"/>
      <c r="DD166" s="105"/>
      <c r="DE166" s="105"/>
      <c r="DF166" s="105"/>
      <c r="DG166" s="105"/>
      <c r="DH166" s="105"/>
      <c r="DI166" s="105"/>
      <c r="DJ166" s="105"/>
      <c r="DK166" s="105"/>
      <c r="DL166" s="105"/>
      <c r="DM166" s="105"/>
      <c r="DN166" s="105"/>
      <c r="DO166" s="105"/>
      <c r="DP166" s="105"/>
      <c r="DQ166" s="105"/>
      <c r="DR166" s="105"/>
      <c r="DS166" s="105"/>
      <c r="DT166" s="105"/>
      <c r="DU166" s="105"/>
      <c r="DV166" s="105"/>
      <c r="DW166" s="105"/>
      <c r="DX166" s="105"/>
      <c r="DY166" s="105"/>
      <c r="DZ166" s="105"/>
      <c r="EA166" s="105"/>
      <c r="EB166" s="105"/>
      <c r="EC166" s="105"/>
      <c r="ED166" s="105"/>
      <c r="EE166" s="105"/>
      <c r="EF166" s="105"/>
      <c r="EG166" s="105"/>
      <c r="EH166" s="105"/>
      <c r="EI166" s="105"/>
      <c r="EJ166" s="105"/>
      <c r="EK166" s="105"/>
      <c r="EL166" s="105"/>
      <c r="EM166" s="105"/>
      <c r="EN166" s="105"/>
      <c r="EO166" s="105"/>
      <c r="EP166" s="105"/>
      <c r="EQ166" s="105"/>
      <c r="ER166" s="105"/>
      <c r="ES166" s="105"/>
      <c r="ET166" s="105"/>
      <c r="EU166" s="105"/>
      <c r="EV166" s="105"/>
      <c r="EW166" s="105"/>
      <c r="EX166" s="105"/>
      <c r="EY166" s="105"/>
      <c r="EZ166" s="105"/>
      <c r="FA166" s="105"/>
      <c r="FB166" s="105"/>
      <c r="FC166" s="105"/>
      <c r="FD166" s="105"/>
      <c r="FE166" s="105"/>
      <c r="FF166" s="105"/>
      <c r="FG166" s="105"/>
      <c r="FH166" s="105"/>
      <c r="FI166" s="105"/>
      <c r="FJ166" s="105"/>
      <c r="FK166" s="105"/>
      <c r="FL166" s="105"/>
      <c r="FM166" s="105"/>
      <c r="FN166" s="105"/>
      <c r="FO166" s="105"/>
      <c r="FP166" s="105"/>
      <c r="FQ166" s="105"/>
      <c r="FR166" s="105"/>
      <c r="FS166" s="105"/>
      <c r="FT166" s="105"/>
      <c r="FU166" s="105"/>
      <c r="FV166" s="105"/>
      <c r="FW166" s="105"/>
      <c r="FX166" s="105"/>
      <c r="FY166" s="105"/>
      <c r="FZ166" s="105"/>
      <c r="GA166" s="105"/>
      <c r="GB166" s="105"/>
      <c r="GC166" s="105"/>
      <c r="GD166" s="105"/>
      <c r="GE166" s="105"/>
      <c r="GF166" s="105"/>
      <c r="GG166" s="105"/>
      <c r="GH166" s="105"/>
      <c r="GI166" s="105"/>
      <c r="GJ166" s="105"/>
      <c r="GK166" s="105"/>
      <c r="GL166" s="105"/>
      <c r="GM166" s="105"/>
      <c r="GN166" s="105"/>
      <c r="GO166" s="105"/>
      <c r="GP166" s="105"/>
      <c r="GQ166" s="105"/>
      <c r="GR166" s="105"/>
      <c r="GS166" s="105"/>
      <c r="GT166" s="105"/>
      <c r="GU166" s="105"/>
      <c r="GV166" s="105"/>
      <c r="GW166" s="105"/>
      <c r="GX166" s="105"/>
      <c r="GY166" s="105"/>
      <c r="GZ166" s="105"/>
      <c r="HA166" s="105"/>
      <c r="HB166" s="105"/>
      <c r="HC166" s="105"/>
      <c r="HD166" s="105"/>
      <c r="HE166" s="105"/>
      <c r="HF166" s="105"/>
      <c r="HG166" s="105"/>
      <c r="HH166" s="105"/>
      <c r="HI166" s="105"/>
      <c r="HJ166" s="105"/>
      <c r="HK166" s="105"/>
      <c r="HL166" s="105"/>
      <c r="HM166" s="105"/>
      <c r="HN166" s="105"/>
      <c r="HO166" s="105"/>
      <c r="HP166" s="105"/>
      <c r="HQ166" s="105"/>
      <c r="HR166" s="105"/>
      <c r="HS166" s="105"/>
      <c r="HT166" s="105"/>
      <c r="HU166" s="105"/>
      <c r="HV166" s="105"/>
      <c r="HW166" s="105"/>
      <c r="HX166" s="105"/>
      <c r="HY166" s="105"/>
      <c r="HZ166" s="105"/>
      <c r="IA166" s="105"/>
      <c r="IB166" s="105"/>
      <c r="IC166" s="105"/>
      <c r="ID166" s="105"/>
      <c r="IE166" s="105"/>
      <c r="IF166" s="105"/>
      <c r="IG166" s="105"/>
      <c r="IH166" s="105"/>
      <c r="II166" s="105"/>
      <c r="IJ166" s="105"/>
      <c r="IK166" s="105"/>
      <c r="IL166" s="105"/>
      <c r="IM166" s="105"/>
      <c r="IN166" s="105"/>
      <c r="IO166" s="105"/>
      <c r="IP166" s="105"/>
      <c r="IQ166" s="105"/>
      <c r="IR166" s="105"/>
      <c r="IS166" s="105"/>
      <c r="IT166" s="105"/>
      <c r="IU166" s="105"/>
      <c r="IV166" s="105"/>
    </row>
    <row r="167" s="106" customFormat="1" ht="20.1" customHeight="1" spans="1:256">
      <c r="A167" s="105"/>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c r="CC167" s="105"/>
      <c r="CD167" s="105"/>
      <c r="CE167" s="105"/>
      <c r="CF167" s="105"/>
      <c r="CG167" s="105"/>
      <c r="CH167" s="105"/>
      <c r="CI167" s="105"/>
      <c r="CJ167" s="105"/>
      <c r="CK167" s="105"/>
      <c r="CL167" s="105"/>
      <c r="CM167" s="105"/>
      <c r="CN167" s="105"/>
      <c r="CO167" s="105"/>
      <c r="CP167" s="105"/>
      <c r="CQ167" s="105"/>
      <c r="CR167" s="105"/>
      <c r="CS167" s="105"/>
      <c r="CT167" s="105"/>
      <c r="CU167" s="105"/>
      <c r="CV167" s="105"/>
      <c r="CW167" s="105"/>
      <c r="CX167" s="105"/>
      <c r="CY167" s="105"/>
      <c r="CZ167" s="105"/>
      <c r="DA167" s="105"/>
      <c r="DB167" s="105"/>
      <c r="DC167" s="105"/>
      <c r="DD167" s="105"/>
      <c r="DE167" s="105"/>
      <c r="DF167" s="105"/>
      <c r="DG167" s="105"/>
      <c r="DH167" s="105"/>
      <c r="DI167" s="105"/>
      <c r="DJ167" s="105"/>
      <c r="DK167" s="105"/>
      <c r="DL167" s="105"/>
      <c r="DM167" s="105"/>
      <c r="DN167" s="105"/>
      <c r="DO167" s="105"/>
      <c r="DP167" s="105"/>
      <c r="DQ167" s="105"/>
      <c r="DR167" s="105"/>
      <c r="DS167" s="105"/>
      <c r="DT167" s="105"/>
      <c r="DU167" s="105"/>
      <c r="DV167" s="105"/>
      <c r="DW167" s="105"/>
      <c r="DX167" s="105"/>
      <c r="DY167" s="105"/>
      <c r="DZ167" s="105"/>
      <c r="EA167" s="105"/>
      <c r="EB167" s="105"/>
      <c r="EC167" s="105"/>
      <c r="ED167" s="105"/>
      <c r="EE167" s="105"/>
      <c r="EF167" s="105"/>
      <c r="EG167" s="105"/>
      <c r="EH167" s="105"/>
      <c r="EI167" s="105"/>
      <c r="EJ167" s="105"/>
      <c r="EK167" s="105"/>
      <c r="EL167" s="105"/>
      <c r="EM167" s="105"/>
      <c r="EN167" s="105"/>
      <c r="EO167" s="105"/>
      <c r="EP167" s="105"/>
      <c r="EQ167" s="105"/>
      <c r="ER167" s="105"/>
      <c r="ES167" s="105"/>
      <c r="ET167" s="105"/>
      <c r="EU167" s="105"/>
      <c r="EV167" s="105"/>
      <c r="EW167" s="105"/>
      <c r="EX167" s="105"/>
      <c r="EY167" s="105"/>
      <c r="EZ167" s="105"/>
      <c r="FA167" s="105"/>
      <c r="FB167" s="105"/>
      <c r="FC167" s="105"/>
      <c r="FD167" s="105"/>
      <c r="FE167" s="105"/>
      <c r="FF167" s="105"/>
      <c r="FG167" s="105"/>
      <c r="FH167" s="105"/>
      <c r="FI167" s="105"/>
      <c r="FJ167" s="105"/>
      <c r="FK167" s="105"/>
      <c r="FL167" s="105"/>
      <c r="FM167" s="105"/>
      <c r="FN167" s="105"/>
      <c r="FO167" s="105"/>
      <c r="FP167" s="105"/>
      <c r="FQ167" s="105"/>
      <c r="FR167" s="105"/>
      <c r="FS167" s="105"/>
      <c r="FT167" s="105"/>
      <c r="FU167" s="105"/>
      <c r="FV167" s="105"/>
      <c r="FW167" s="105"/>
      <c r="FX167" s="105"/>
      <c r="FY167" s="105"/>
      <c r="FZ167" s="105"/>
      <c r="GA167" s="105"/>
      <c r="GB167" s="105"/>
      <c r="GC167" s="105"/>
      <c r="GD167" s="105"/>
      <c r="GE167" s="105"/>
      <c r="GF167" s="105"/>
      <c r="GG167" s="105"/>
      <c r="GH167" s="105"/>
      <c r="GI167" s="105"/>
      <c r="GJ167" s="105"/>
      <c r="GK167" s="105"/>
      <c r="GL167" s="105"/>
      <c r="GM167" s="105"/>
      <c r="GN167" s="105"/>
      <c r="GO167" s="105"/>
      <c r="GP167" s="105"/>
      <c r="GQ167" s="105"/>
      <c r="GR167" s="105"/>
      <c r="GS167" s="105"/>
      <c r="GT167" s="105"/>
      <c r="GU167" s="105"/>
      <c r="GV167" s="105"/>
      <c r="GW167" s="105"/>
      <c r="GX167" s="105"/>
      <c r="GY167" s="105"/>
      <c r="GZ167" s="105"/>
      <c r="HA167" s="105"/>
      <c r="HB167" s="105"/>
      <c r="HC167" s="105"/>
      <c r="HD167" s="105"/>
      <c r="HE167" s="105"/>
      <c r="HF167" s="105"/>
      <c r="HG167" s="105"/>
      <c r="HH167" s="105"/>
      <c r="HI167" s="105"/>
      <c r="HJ167" s="105"/>
      <c r="HK167" s="105"/>
      <c r="HL167" s="105"/>
      <c r="HM167" s="105"/>
      <c r="HN167" s="105"/>
      <c r="HO167" s="105"/>
      <c r="HP167" s="105"/>
      <c r="HQ167" s="105"/>
      <c r="HR167" s="105"/>
      <c r="HS167" s="105"/>
      <c r="HT167" s="105"/>
      <c r="HU167" s="105"/>
      <c r="HV167" s="105"/>
      <c r="HW167" s="105"/>
      <c r="HX167" s="105"/>
      <c r="HY167" s="105"/>
      <c r="HZ167" s="105"/>
      <c r="IA167" s="105"/>
      <c r="IB167" s="105"/>
      <c r="IC167" s="105"/>
      <c r="ID167" s="105"/>
      <c r="IE167" s="105"/>
      <c r="IF167" s="105"/>
      <c r="IG167" s="105"/>
      <c r="IH167" s="105"/>
      <c r="II167" s="105"/>
      <c r="IJ167" s="105"/>
      <c r="IK167" s="105"/>
      <c r="IL167" s="105"/>
      <c r="IM167" s="105"/>
      <c r="IN167" s="105"/>
      <c r="IO167" s="105"/>
      <c r="IP167" s="105"/>
      <c r="IQ167" s="105"/>
      <c r="IR167" s="105"/>
      <c r="IS167" s="105"/>
      <c r="IT167" s="105"/>
      <c r="IU167" s="105"/>
      <c r="IV167" s="105"/>
    </row>
    <row r="168" s="106" customFormat="1" ht="20.1" customHeight="1" spans="1:256">
      <c r="A168" s="105"/>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105"/>
      <c r="CT168" s="105"/>
      <c r="CU168" s="105"/>
      <c r="CV168" s="105"/>
      <c r="CW168" s="105"/>
      <c r="CX168" s="105"/>
      <c r="CY168" s="105"/>
      <c r="CZ168" s="105"/>
      <c r="DA168" s="105"/>
      <c r="DB168" s="105"/>
      <c r="DC168" s="105"/>
      <c r="DD168" s="105"/>
      <c r="DE168" s="105"/>
      <c r="DF168" s="105"/>
      <c r="DG168" s="105"/>
      <c r="DH168" s="105"/>
      <c r="DI168" s="105"/>
      <c r="DJ168" s="105"/>
      <c r="DK168" s="105"/>
      <c r="DL168" s="105"/>
      <c r="DM168" s="105"/>
      <c r="DN168" s="105"/>
      <c r="DO168" s="105"/>
      <c r="DP168" s="105"/>
      <c r="DQ168" s="105"/>
      <c r="DR168" s="105"/>
      <c r="DS168" s="105"/>
      <c r="DT168" s="105"/>
      <c r="DU168" s="105"/>
      <c r="DV168" s="105"/>
      <c r="DW168" s="105"/>
      <c r="DX168" s="105"/>
      <c r="DY168" s="105"/>
      <c r="DZ168" s="105"/>
      <c r="EA168" s="105"/>
      <c r="EB168" s="105"/>
      <c r="EC168" s="105"/>
      <c r="ED168" s="105"/>
      <c r="EE168" s="105"/>
      <c r="EF168" s="105"/>
      <c r="EG168" s="105"/>
      <c r="EH168" s="105"/>
      <c r="EI168" s="105"/>
      <c r="EJ168" s="105"/>
      <c r="EK168" s="105"/>
      <c r="EL168" s="105"/>
      <c r="EM168" s="105"/>
      <c r="EN168" s="105"/>
      <c r="EO168" s="105"/>
      <c r="EP168" s="105"/>
      <c r="EQ168" s="105"/>
      <c r="ER168" s="105"/>
      <c r="ES168" s="105"/>
      <c r="ET168" s="105"/>
      <c r="EU168" s="105"/>
      <c r="EV168" s="105"/>
      <c r="EW168" s="105"/>
      <c r="EX168" s="105"/>
      <c r="EY168" s="105"/>
      <c r="EZ168" s="105"/>
      <c r="FA168" s="105"/>
      <c r="FB168" s="105"/>
      <c r="FC168" s="105"/>
      <c r="FD168" s="105"/>
      <c r="FE168" s="105"/>
      <c r="FF168" s="105"/>
      <c r="FG168" s="105"/>
      <c r="FH168" s="105"/>
      <c r="FI168" s="105"/>
      <c r="FJ168" s="105"/>
      <c r="FK168" s="105"/>
      <c r="FL168" s="105"/>
      <c r="FM168" s="105"/>
      <c r="FN168" s="105"/>
      <c r="FO168" s="105"/>
      <c r="FP168" s="105"/>
      <c r="FQ168" s="105"/>
      <c r="FR168" s="105"/>
      <c r="FS168" s="105"/>
      <c r="FT168" s="105"/>
      <c r="FU168" s="105"/>
      <c r="FV168" s="105"/>
      <c r="FW168" s="105"/>
      <c r="FX168" s="105"/>
      <c r="FY168" s="105"/>
      <c r="FZ168" s="105"/>
      <c r="GA168" s="105"/>
      <c r="GB168" s="105"/>
      <c r="GC168" s="105"/>
      <c r="GD168" s="105"/>
      <c r="GE168" s="105"/>
      <c r="GF168" s="105"/>
      <c r="GG168" s="105"/>
      <c r="GH168" s="105"/>
      <c r="GI168" s="105"/>
      <c r="GJ168" s="105"/>
      <c r="GK168" s="105"/>
      <c r="GL168" s="105"/>
      <c r="GM168" s="105"/>
      <c r="GN168" s="105"/>
      <c r="GO168" s="105"/>
      <c r="GP168" s="105"/>
      <c r="GQ168" s="105"/>
      <c r="GR168" s="105"/>
      <c r="GS168" s="105"/>
      <c r="GT168" s="105"/>
      <c r="GU168" s="105"/>
      <c r="GV168" s="105"/>
      <c r="GW168" s="105"/>
      <c r="GX168" s="105"/>
      <c r="GY168" s="105"/>
      <c r="GZ168" s="105"/>
      <c r="HA168" s="105"/>
      <c r="HB168" s="105"/>
      <c r="HC168" s="105"/>
      <c r="HD168" s="105"/>
      <c r="HE168" s="105"/>
      <c r="HF168" s="105"/>
      <c r="HG168" s="105"/>
      <c r="HH168" s="105"/>
      <c r="HI168" s="105"/>
      <c r="HJ168" s="105"/>
      <c r="HK168" s="105"/>
      <c r="HL168" s="105"/>
      <c r="HM168" s="105"/>
      <c r="HN168" s="105"/>
      <c r="HO168" s="105"/>
      <c r="HP168" s="105"/>
      <c r="HQ168" s="105"/>
      <c r="HR168" s="105"/>
      <c r="HS168" s="105"/>
      <c r="HT168" s="105"/>
      <c r="HU168" s="105"/>
      <c r="HV168" s="105"/>
      <c r="HW168" s="105"/>
      <c r="HX168" s="105"/>
      <c r="HY168" s="105"/>
      <c r="HZ168" s="105"/>
      <c r="IA168" s="105"/>
      <c r="IB168" s="105"/>
      <c r="IC168" s="105"/>
      <c r="ID168" s="105"/>
      <c r="IE168" s="105"/>
      <c r="IF168" s="105"/>
      <c r="IG168" s="105"/>
      <c r="IH168" s="105"/>
      <c r="II168" s="105"/>
      <c r="IJ168" s="105"/>
      <c r="IK168" s="105"/>
      <c r="IL168" s="105"/>
      <c r="IM168" s="105"/>
      <c r="IN168" s="105"/>
      <c r="IO168" s="105"/>
      <c r="IP168" s="105"/>
      <c r="IQ168" s="105"/>
      <c r="IR168" s="105"/>
      <c r="IS168" s="105"/>
      <c r="IT168" s="105"/>
      <c r="IU168" s="105"/>
      <c r="IV168" s="105"/>
    </row>
    <row r="169" s="106" customFormat="1" ht="20.1" customHeight="1" spans="1:256">
      <c r="A169" s="10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c r="CC169" s="105"/>
      <c r="CD169" s="105"/>
      <c r="CE169" s="105"/>
      <c r="CF169" s="105"/>
      <c r="CG169" s="105"/>
      <c r="CH169" s="105"/>
      <c r="CI169" s="105"/>
      <c r="CJ169" s="105"/>
      <c r="CK169" s="105"/>
      <c r="CL169" s="105"/>
      <c r="CM169" s="105"/>
      <c r="CN169" s="105"/>
      <c r="CO169" s="105"/>
      <c r="CP169" s="105"/>
      <c r="CQ169" s="105"/>
      <c r="CR169" s="105"/>
      <c r="CS169" s="105"/>
      <c r="CT169" s="105"/>
      <c r="CU169" s="105"/>
      <c r="CV169" s="105"/>
      <c r="CW169" s="105"/>
      <c r="CX169" s="105"/>
      <c r="CY169" s="105"/>
      <c r="CZ169" s="105"/>
      <c r="DA169" s="105"/>
      <c r="DB169" s="105"/>
      <c r="DC169" s="105"/>
      <c r="DD169" s="105"/>
      <c r="DE169" s="105"/>
      <c r="DF169" s="105"/>
      <c r="DG169" s="105"/>
      <c r="DH169" s="105"/>
      <c r="DI169" s="105"/>
      <c r="DJ169" s="105"/>
      <c r="DK169" s="105"/>
      <c r="DL169" s="105"/>
      <c r="DM169" s="105"/>
      <c r="DN169" s="105"/>
      <c r="DO169" s="105"/>
      <c r="DP169" s="105"/>
      <c r="DQ169" s="105"/>
      <c r="DR169" s="105"/>
      <c r="DS169" s="105"/>
      <c r="DT169" s="105"/>
      <c r="DU169" s="105"/>
      <c r="DV169" s="105"/>
      <c r="DW169" s="105"/>
      <c r="DX169" s="105"/>
      <c r="DY169" s="105"/>
      <c r="DZ169" s="105"/>
      <c r="EA169" s="105"/>
      <c r="EB169" s="105"/>
      <c r="EC169" s="105"/>
      <c r="ED169" s="105"/>
      <c r="EE169" s="105"/>
      <c r="EF169" s="105"/>
      <c r="EG169" s="105"/>
      <c r="EH169" s="105"/>
      <c r="EI169" s="105"/>
      <c r="EJ169" s="105"/>
      <c r="EK169" s="105"/>
      <c r="EL169" s="105"/>
      <c r="EM169" s="105"/>
      <c r="EN169" s="105"/>
      <c r="EO169" s="105"/>
      <c r="EP169" s="105"/>
      <c r="EQ169" s="105"/>
      <c r="ER169" s="105"/>
      <c r="ES169" s="105"/>
      <c r="ET169" s="105"/>
      <c r="EU169" s="105"/>
      <c r="EV169" s="105"/>
      <c r="EW169" s="105"/>
      <c r="EX169" s="105"/>
      <c r="EY169" s="105"/>
      <c r="EZ169" s="105"/>
      <c r="FA169" s="105"/>
      <c r="FB169" s="105"/>
      <c r="FC169" s="105"/>
      <c r="FD169" s="105"/>
      <c r="FE169" s="105"/>
      <c r="FF169" s="105"/>
      <c r="FG169" s="105"/>
      <c r="FH169" s="105"/>
      <c r="FI169" s="105"/>
      <c r="FJ169" s="105"/>
      <c r="FK169" s="105"/>
      <c r="FL169" s="105"/>
      <c r="FM169" s="105"/>
      <c r="FN169" s="105"/>
      <c r="FO169" s="105"/>
      <c r="FP169" s="105"/>
      <c r="FQ169" s="105"/>
      <c r="FR169" s="105"/>
      <c r="FS169" s="105"/>
      <c r="FT169" s="105"/>
      <c r="FU169" s="105"/>
      <c r="FV169" s="105"/>
      <c r="FW169" s="105"/>
      <c r="FX169" s="105"/>
      <c r="FY169" s="105"/>
      <c r="FZ169" s="105"/>
      <c r="GA169" s="105"/>
      <c r="GB169" s="105"/>
      <c r="GC169" s="105"/>
      <c r="GD169" s="105"/>
      <c r="GE169" s="105"/>
      <c r="GF169" s="105"/>
      <c r="GG169" s="105"/>
      <c r="GH169" s="105"/>
      <c r="GI169" s="105"/>
      <c r="GJ169" s="105"/>
      <c r="GK169" s="105"/>
      <c r="GL169" s="105"/>
      <c r="GM169" s="105"/>
      <c r="GN169" s="105"/>
      <c r="GO169" s="105"/>
      <c r="GP169" s="105"/>
      <c r="GQ169" s="105"/>
      <c r="GR169" s="105"/>
      <c r="GS169" s="105"/>
      <c r="GT169" s="105"/>
      <c r="GU169" s="105"/>
      <c r="GV169" s="105"/>
      <c r="GW169" s="105"/>
      <c r="GX169" s="105"/>
      <c r="GY169" s="105"/>
      <c r="GZ169" s="105"/>
      <c r="HA169" s="105"/>
      <c r="HB169" s="105"/>
      <c r="HC169" s="105"/>
      <c r="HD169" s="105"/>
      <c r="HE169" s="105"/>
      <c r="HF169" s="105"/>
      <c r="HG169" s="105"/>
      <c r="HH169" s="105"/>
      <c r="HI169" s="105"/>
      <c r="HJ169" s="105"/>
      <c r="HK169" s="105"/>
      <c r="HL169" s="105"/>
      <c r="HM169" s="105"/>
      <c r="HN169" s="105"/>
      <c r="HO169" s="105"/>
      <c r="HP169" s="105"/>
      <c r="HQ169" s="105"/>
      <c r="HR169" s="105"/>
      <c r="HS169" s="105"/>
      <c r="HT169" s="105"/>
      <c r="HU169" s="105"/>
      <c r="HV169" s="105"/>
      <c r="HW169" s="105"/>
      <c r="HX169" s="105"/>
      <c r="HY169" s="105"/>
      <c r="HZ169" s="105"/>
      <c r="IA169" s="105"/>
      <c r="IB169" s="105"/>
      <c r="IC169" s="105"/>
      <c r="ID169" s="105"/>
      <c r="IE169" s="105"/>
      <c r="IF169" s="105"/>
      <c r="IG169" s="105"/>
      <c r="IH169" s="105"/>
      <c r="II169" s="105"/>
      <c r="IJ169" s="105"/>
      <c r="IK169" s="105"/>
      <c r="IL169" s="105"/>
      <c r="IM169" s="105"/>
      <c r="IN169" s="105"/>
      <c r="IO169" s="105"/>
      <c r="IP169" s="105"/>
      <c r="IQ169" s="105"/>
      <c r="IR169" s="105"/>
      <c r="IS169" s="105"/>
      <c r="IT169" s="105"/>
      <c r="IU169" s="105"/>
      <c r="IV169" s="105"/>
    </row>
    <row r="170" s="106" customFormat="1" ht="20.1" customHeight="1" spans="1:256">
      <c r="A170" s="105"/>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05"/>
      <c r="CT170" s="105"/>
      <c r="CU170" s="105"/>
      <c r="CV170" s="105"/>
      <c r="CW170" s="105"/>
      <c r="CX170" s="105"/>
      <c r="CY170" s="105"/>
      <c r="CZ170" s="105"/>
      <c r="DA170" s="105"/>
      <c r="DB170" s="105"/>
      <c r="DC170" s="105"/>
      <c r="DD170" s="105"/>
      <c r="DE170" s="105"/>
      <c r="DF170" s="105"/>
      <c r="DG170" s="105"/>
      <c r="DH170" s="105"/>
      <c r="DI170" s="105"/>
      <c r="DJ170" s="105"/>
      <c r="DK170" s="105"/>
      <c r="DL170" s="105"/>
      <c r="DM170" s="105"/>
      <c r="DN170" s="105"/>
      <c r="DO170" s="105"/>
      <c r="DP170" s="105"/>
      <c r="DQ170" s="105"/>
      <c r="DR170" s="105"/>
      <c r="DS170" s="105"/>
      <c r="DT170" s="105"/>
      <c r="DU170" s="105"/>
      <c r="DV170" s="105"/>
      <c r="DW170" s="105"/>
      <c r="DX170" s="105"/>
      <c r="DY170" s="105"/>
      <c r="DZ170" s="105"/>
      <c r="EA170" s="105"/>
      <c r="EB170" s="105"/>
      <c r="EC170" s="105"/>
      <c r="ED170" s="105"/>
      <c r="EE170" s="105"/>
      <c r="EF170" s="105"/>
      <c r="EG170" s="105"/>
      <c r="EH170" s="105"/>
      <c r="EI170" s="105"/>
      <c r="EJ170" s="105"/>
      <c r="EK170" s="105"/>
      <c r="EL170" s="105"/>
      <c r="EM170" s="105"/>
      <c r="EN170" s="105"/>
      <c r="EO170" s="105"/>
      <c r="EP170" s="105"/>
      <c r="EQ170" s="105"/>
      <c r="ER170" s="105"/>
      <c r="ES170" s="105"/>
      <c r="ET170" s="105"/>
      <c r="EU170" s="105"/>
      <c r="EV170" s="105"/>
      <c r="EW170" s="105"/>
      <c r="EX170" s="105"/>
      <c r="EY170" s="105"/>
      <c r="EZ170" s="105"/>
      <c r="FA170" s="105"/>
      <c r="FB170" s="105"/>
      <c r="FC170" s="105"/>
      <c r="FD170" s="105"/>
      <c r="FE170" s="105"/>
      <c r="FF170" s="105"/>
      <c r="FG170" s="105"/>
      <c r="FH170" s="105"/>
      <c r="FI170" s="105"/>
      <c r="FJ170" s="105"/>
      <c r="FK170" s="105"/>
      <c r="FL170" s="105"/>
      <c r="FM170" s="105"/>
      <c r="FN170" s="105"/>
      <c r="FO170" s="105"/>
      <c r="FP170" s="105"/>
      <c r="FQ170" s="105"/>
      <c r="FR170" s="105"/>
      <c r="FS170" s="105"/>
      <c r="FT170" s="105"/>
      <c r="FU170" s="105"/>
      <c r="FV170" s="105"/>
      <c r="FW170" s="105"/>
      <c r="FX170" s="105"/>
      <c r="FY170" s="105"/>
      <c r="FZ170" s="105"/>
      <c r="GA170" s="105"/>
      <c r="GB170" s="105"/>
      <c r="GC170" s="105"/>
      <c r="GD170" s="105"/>
      <c r="GE170" s="105"/>
      <c r="GF170" s="105"/>
      <c r="GG170" s="105"/>
      <c r="GH170" s="105"/>
      <c r="GI170" s="105"/>
      <c r="GJ170" s="105"/>
      <c r="GK170" s="105"/>
      <c r="GL170" s="105"/>
      <c r="GM170" s="105"/>
      <c r="GN170" s="105"/>
      <c r="GO170" s="105"/>
      <c r="GP170" s="105"/>
      <c r="GQ170" s="105"/>
      <c r="GR170" s="105"/>
      <c r="GS170" s="105"/>
      <c r="GT170" s="105"/>
      <c r="GU170" s="105"/>
      <c r="GV170" s="105"/>
      <c r="GW170" s="105"/>
      <c r="GX170" s="105"/>
      <c r="GY170" s="105"/>
      <c r="GZ170" s="105"/>
      <c r="HA170" s="105"/>
      <c r="HB170" s="105"/>
      <c r="HC170" s="105"/>
      <c r="HD170" s="105"/>
      <c r="HE170" s="105"/>
      <c r="HF170" s="105"/>
      <c r="HG170" s="105"/>
      <c r="HH170" s="105"/>
      <c r="HI170" s="105"/>
      <c r="HJ170" s="105"/>
      <c r="HK170" s="105"/>
      <c r="HL170" s="105"/>
      <c r="HM170" s="105"/>
      <c r="HN170" s="105"/>
      <c r="HO170" s="105"/>
      <c r="HP170" s="105"/>
      <c r="HQ170" s="105"/>
      <c r="HR170" s="105"/>
      <c r="HS170" s="105"/>
      <c r="HT170" s="105"/>
      <c r="HU170" s="105"/>
      <c r="HV170" s="105"/>
      <c r="HW170" s="105"/>
      <c r="HX170" s="105"/>
      <c r="HY170" s="105"/>
      <c r="HZ170" s="105"/>
      <c r="IA170" s="105"/>
      <c r="IB170" s="105"/>
      <c r="IC170" s="105"/>
      <c r="ID170" s="105"/>
      <c r="IE170" s="105"/>
      <c r="IF170" s="105"/>
      <c r="IG170" s="105"/>
      <c r="IH170" s="105"/>
      <c r="II170" s="105"/>
      <c r="IJ170" s="105"/>
      <c r="IK170" s="105"/>
      <c r="IL170" s="105"/>
      <c r="IM170" s="105"/>
      <c r="IN170" s="105"/>
      <c r="IO170" s="105"/>
      <c r="IP170" s="105"/>
      <c r="IQ170" s="105"/>
      <c r="IR170" s="105"/>
      <c r="IS170" s="105"/>
      <c r="IT170" s="105"/>
      <c r="IU170" s="105"/>
      <c r="IV170" s="105"/>
    </row>
    <row r="171" s="106" customFormat="1" ht="20.1" customHeight="1" spans="1:256">
      <c r="A171" s="105"/>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05"/>
      <c r="CT171" s="105"/>
      <c r="CU171" s="105"/>
      <c r="CV171" s="105"/>
      <c r="CW171" s="105"/>
      <c r="CX171" s="105"/>
      <c r="CY171" s="105"/>
      <c r="CZ171" s="105"/>
      <c r="DA171" s="105"/>
      <c r="DB171" s="105"/>
      <c r="DC171" s="105"/>
      <c r="DD171" s="105"/>
      <c r="DE171" s="105"/>
      <c r="DF171" s="105"/>
      <c r="DG171" s="105"/>
      <c r="DH171" s="105"/>
      <c r="DI171" s="105"/>
      <c r="DJ171" s="105"/>
      <c r="DK171" s="105"/>
      <c r="DL171" s="105"/>
      <c r="DM171" s="105"/>
      <c r="DN171" s="105"/>
      <c r="DO171" s="105"/>
      <c r="DP171" s="105"/>
      <c r="DQ171" s="105"/>
      <c r="DR171" s="105"/>
      <c r="DS171" s="105"/>
      <c r="DT171" s="105"/>
      <c r="DU171" s="105"/>
      <c r="DV171" s="105"/>
      <c r="DW171" s="105"/>
      <c r="DX171" s="105"/>
      <c r="DY171" s="105"/>
      <c r="DZ171" s="105"/>
      <c r="EA171" s="105"/>
      <c r="EB171" s="105"/>
      <c r="EC171" s="105"/>
      <c r="ED171" s="105"/>
      <c r="EE171" s="105"/>
      <c r="EF171" s="105"/>
      <c r="EG171" s="105"/>
      <c r="EH171" s="105"/>
      <c r="EI171" s="105"/>
      <c r="EJ171" s="105"/>
      <c r="EK171" s="105"/>
      <c r="EL171" s="105"/>
      <c r="EM171" s="105"/>
      <c r="EN171" s="105"/>
      <c r="EO171" s="105"/>
      <c r="EP171" s="105"/>
      <c r="EQ171" s="105"/>
      <c r="ER171" s="105"/>
      <c r="ES171" s="105"/>
      <c r="ET171" s="105"/>
      <c r="EU171" s="105"/>
      <c r="EV171" s="105"/>
      <c r="EW171" s="105"/>
      <c r="EX171" s="105"/>
      <c r="EY171" s="105"/>
      <c r="EZ171" s="105"/>
      <c r="FA171" s="105"/>
      <c r="FB171" s="105"/>
      <c r="FC171" s="105"/>
      <c r="FD171" s="105"/>
      <c r="FE171" s="105"/>
      <c r="FF171" s="105"/>
      <c r="FG171" s="105"/>
      <c r="FH171" s="105"/>
      <c r="FI171" s="105"/>
      <c r="FJ171" s="105"/>
      <c r="FK171" s="105"/>
      <c r="FL171" s="105"/>
      <c r="FM171" s="105"/>
      <c r="FN171" s="105"/>
      <c r="FO171" s="105"/>
      <c r="FP171" s="105"/>
      <c r="FQ171" s="105"/>
      <c r="FR171" s="105"/>
      <c r="FS171" s="105"/>
      <c r="FT171" s="105"/>
      <c r="FU171" s="105"/>
      <c r="FV171" s="105"/>
      <c r="FW171" s="105"/>
      <c r="FX171" s="105"/>
      <c r="FY171" s="105"/>
      <c r="FZ171" s="105"/>
      <c r="GA171" s="105"/>
      <c r="GB171" s="105"/>
      <c r="GC171" s="105"/>
      <c r="GD171" s="105"/>
      <c r="GE171" s="105"/>
      <c r="GF171" s="105"/>
      <c r="GG171" s="105"/>
      <c r="GH171" s="105"/>
      <c r="GI171" s="105"/>
      <c r="GJ171" s="105"/>
      <c r="GK171" s="105"/>
      <c r="GL171" s="105"/>
      <c r="GM171" s="105"/>
      <c r="GN171" s="105"/>
      <c r="GO171" s="105"/>
      <c r="GP171" s="105"/>
      <c r="GQ171" s="105"/>
      <c r="GR171" s="105"/>
      <c r="GS171" s="105"/>
      <c r="GT171" s="105"/>
      <c r="GU171" s="105"/>
      <c r="GV171" s="105"/>
      <c r="GW171" s="105"/>
      <c r="GX171" s="105"/>
      <c r="GY171" s="105"/>
      <c r="GZ171" s="105"/>
      <c r="HA171" s="105"/>
      <c r="HB171" s="105"/>
      <c r="HC171" s="105"/>
      <c r="HD171" s="105"/>
      <c r="HE171" s="105"/>
      <c r="HF171" s="105"/>
      <c r="HG171" s="105"/>
      <c r="HH171" s="105"/>
      <c r="HI171" s="105"/>
      <c r="HJ171" s="105"/>
      <c r="HK171" s="105"/>
      <c r="HL171" s="105"/>
      <c r="HM171" s="105"/>
      <c r="HN171" s="105"/>
      <c r="HO171" s="105"/>
      <c r="HP171" s="105"/>
      <c r="HQ171" s="105"/>
      <c r="HR171" s="105"/>
      <c r="HS171" s="105"/>
      <c r="HT171" s="105"/>
      <c r="HU171" s="105"/>
      <c r="HV171" s="105"/>
      <c r="HW171" s="105"/>
      <c r="HX171" s="105"/>
      <c r="HY171" s="105"/>
      <c r="HZ171" s="105"/>
      <c r="IA171" s="105"/>
      <c r="IB171" s="105"/>
      <c r="IC171" s="105"/>
      <c r="ID171" s="105"/>
      <c r="IE171" s="105"/>
      <c r="IF171" s="105"/>
      <c r="IG171" s="105"/>
      <c r="IH171" s="105"/>
      <c r="II171" s="105"/>
      <c r="IJ171" s="105"/>
      <c r="IK171" s="105"/>
      <c r="IL171" s="105"/>
      <c r="IM171" s="105"/>
      <c r="IN171" s="105"/>
      <c r="IO171" s="105"/>
      <c r="IP171" s="105"/>
      <c r="IQ171" s="105"/>
      <c r="IR171" s="105"/>
      <c r="IS171" s="105"/>
      <c r="IT171" s="105"/>
      <c r="IU171" s="105"/>
      <c r="IV171" s="105"/>
    </row>
    <row r="172" s="105" customFormat="1" ht="20.1" customHeight="1"/>
    <row r="173" s="105" customFormat="1" ht="20.1" customHeight="1"/>
    <row r="174" s="105" customFormat="1" ht="20.1" customHeight="1"/>
    <row r="175" s="105" customFormat="1" ht="20.1" customHeight="1"/>
    <row r="176" s="105" customFormat="1" ht="20.1" customHeight="1"/>
    <row r="177" s="105" customFormat="1" ht="20.1" customHeight="1"/>
    <row r="178" s="105" customFormat="1" ht="20.1" customHeight="1"/>
    <row r="179" s="105" customFormat="1" ht="20.1" customHeight="1"/>
    <row r="180" s="105" customFormat="1" ht="20.1" customHeight="1"/>
    <row r="181" s="105" customFormat="1" ht="20.1" customHeight="1"/>
    <row r="182" s="105" customFormat="1" ht="20.1" customHeight="1"/>
    <row r="183" s="105" customFormat="1" ht="20.1" customHeight="1"/>
    <row r="184" s="105" customFormat="1" ht="20.1" customHeight="1"/>
    <row r="185" s="105" customFormat="1" ht="20.1" customHeight="1"/>
    <row r="186" s="105" customFormat="1" ht="20.1" customHeight="1"/>
    <row r="187" s="105" customFormat="1" ht="20.1" customHeight="1"/>
    <row r="188" s="105" customFormat="1" ht="20.1" customHeight="1"/>
    <row r="189" s="105" customFormat="1" ht="20.1" customHeight="1"/>
    <row r="190" s="105" customFormat="1" ht="20.1" customHeight="1"/>
    <row r="191" s="105" customFormat="1" ht="20.1" customHeight="1"/>
    <row r="192" s="105" customFormat="1" ht="20.1" customHeight="1"/>
    <row r="193" s="105" customFormat="1" ht="20.1" customHeight="1"/>
    <row r="194" s="105" customFormat="1" ht="20.1" customHeight="1"/>
    <row r="195" s="105" customFormat="1" ht="20.1" customHeight="1"/>
    <row r="196" s="105" customFormat="1" ht="20.1" customHeight="1"/>
    <row r="197" s="105" customFormat="1" ht="20.1" customHeight="1"/>
    <row r="198" s="105" customFormat="1" ht="20.1" customHeight="1"/>
    <row r="199" s="105" customFormat="1" ht="20.1" customHeight="1"/>
    <row r="200" s="105" customFormat="1" customHeight="1"/>
    <row r="201" s="105" customFormat="1" ht="20.1" customHeight="1"/>
    <row r="202" s="105" customFormat="1" ht="20.1" customHeight="1"/>
    <row r="203" s="105" customFormat="1" ht="20.1" customHeight="1"/>
    <row r="204" s="105" customFormat="1" ht="20.1" customHeight="1"/>
    <row r="205" s="105" customFormat="1" ht="20.1" customHeight="1"/>
    <row r="206" s="105" customFormat="1" ht="20.1" customHeight="1"/>
    <row r="207" s="105" customFormat="1" ht="20.1" customHeight="1"/>
    <row r="208" s="105" customFormat="1" ht="20.1" customHeight="1"/>
    <row r="209" s="105" customFormat="1" ht="20.1" customHeight="1"/>
    <row r="210" s="105" customFormat="1" ht="20.1" customHeight="1"/>
    <row r="211" s="105" customFormat="1" ht="20.1" customHeight="1"/>
    <row r="212" s="105" customFormat="1" ht="20.1" customHeight="1"/>
    <row r="213" s="105" customFormat="1" ht="20.1" customHeight="1"/>
    <row r="214" s="105" customFormat="1" ht="20.1" customHeight="1"/>
    <row r="215" s="105" customFormat="1" ht="20.1" customHeight="1"/>
    <row r="216" s="105" customFormat="1" ht="20.1" customHeight="1"/>
    <row r="217" s="105" customFormat="1" ht="20.1" customHeight="1"/>
    <row r="218" s="105" customFormat="1" ht="20.1" customHeight="1"/>
    <row r="219" s="105" customFormat="1" ht="20.1" customHeight="1"/>
    <row r="220" s="105" customFormat="1" ht="20.1" customHeight="1"/>
    <row r="221" s="105" customFormat="1" ht="20.1" customHeight="1"/>
    <row r="222" s="105" customFormat="1" ht="20.1" customHeight="1"/>
    <row r="223" s="105" customFormat="1" ht="20.1" customHeight="1"/>
    <row r="224" s="105" customFormat="1" ht="20.1" customHeight="1"/>
    <row r="225" s="105" customFormat="1" ht="20.1" customHeight="1"/>
    <row r="226" s="105" customFormat="1" ht="20.1" customHeight="1"/>
    <row r="227" s="105" customFormat="1" ht="20.1" customHeight="1"/>
    <row r="228" s="105" customFormat="1" ht="20.1" customHeight="1"/>
    <row r="229" s="105" customFormat="1" ht="20.1" customHeight="1"/>
    <row r="230" s="105" customFormat="1" ht="20.1" customHeight="1"/>
    <row r="231" s="105" customFormat="1" ht="20.1" customHeight="1"/>
    <row r="232" s="105" customFormat="1" ht="20.1" customHeight="1"/>
    <row r="233" s="105" customFormat="1" ht="20.1" customHeight="1"/>
    <row r="234" s="105" customFormat="1" ht="20.1" customHeight="1"/>
    <row r="235" s="105" customFormat="1" ht="20.1" customHeight="1"/>
    <row r="236" s="105" customFormat="1" ht="20.1" customHeight="1"/>
    <row r="237" s="105" customFormat="1" ht="20.1" customHeight="1"/>
    <row r="238" s="105" customFormat="1" ht="20.1" customHeight="1"/>
    <row r="239" s="105" customFormat="1" ht="20.1" customHeight="1"/>
    <row r="240" s="105" customFormat="1" ht="20.1" customHeight="1"/>
    <row r="241" s="105" customFormat="1" ht="20.1" customHeight="1"/>
    <row r="242" s="105" customFormat="1" ht="20.1" customHeight="1"/>
    <row r="243" s="105" customFormat="1" ht="20.1" customHeight="1"/>
    <row r="244" s="105" customFormat="1" ht="20.1" customHeight="1"/>
    <row r="245" s="105" customFormat="1" ht="20.1" customHeight="1"/>
    <row r="246" s="105" customFormat="1" ht="20.1" customHeight="1"/>
    <row r="247" s="105" customFormat="1" ht="20.1" customHeight="1"/>
    <row r="248" s="105" customFormat="1" ht="20.1" customHeight="1"/>
    <row r="249" s="105" customFormat="1" ht="20.1" customHeight="1"/>
    <row r="250" s="105" customFormat="1" ht="20.1" customHeight="1"/>
    <row r="251" s="105" customFormat="1" ht="20.1" customHeight="1"/>
    <row r="252" s="105" customFormat="1" ht="20.1" customHeight="1"/>
    <row r="253" s="105" customFormat="1" ht="20.1" customHeight="1"/>
    <row r="254" s="105" customFormat="1" ht="20.1" customHeight="1"/>
    <row r="255" s="105" customFormat="1" ht="20.1" customHeight="1"/>
    <row r="256" s="105" customFormat="1" ht="20.1" customHeight="1"/>
    <row r="257" s="105" customFormat="1" ht="20.1" customHeight="1"/>
  </sheetData>
  <mergeCells count="4">
    <mergeCell ref="A1:D1"/>
    <mergeCell ref="A2:D2"/>
    <mergeCell ref="B4:D4"/>
    <mergeCell ref="A4:A5"/>
  </mergeCells>
  <dataValidations count="1">
    <dataValidation type="decimal" operator="between" allowBlank="1" showInputMessage="1" showErrorMessage="1" sqref="B6:D6 B7 B8:D11">
      <formula1>-99999999999999</formula1>
      <formula2>99999999999999</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7"/>
  <sheetViews>
    <sheetView showZeros="0" zoomScaleSheetLayoutView="60" workbookViewId="0">
      <pane ySplit="4" topLeftCell="A32" activePane="bottomLeft" state="frozen"/>
      <selection/>
      <selection pane="bottomLeft" activeCell="H45" sqref="H45"/>
    </sheetView>
  </sheetViews>
  <sheetFormatPr defaultColWidth="9" defaultRowHeight="12.75"/>
  <cols>
    <col min="1" max="1" width="38.25" style="600" customWidth="1"/>
    <col min="2" max="2" width="9.75" style="600" customWidth="1"/>
    <col min="3" max="3" width="8.375" style="600" customWidth="1"/>
    <col min="4" max="4" width="9.5" style="600" hidden="1" customWidth="1"/>
    <col min="5" max="5" width="12.125" style="600" hidden="1" customWidth="1"/>
    <col min="6" max="6" width="10.25" style="600" customWidth="1"/>
    <col min="7" max="7" width="9" style="600" customWidth="1"/>
    <col min="8" max="8" width="10.375" style="600" customWidth="1"/>
    <col min="9" max="9" width="32.125" style="600" customWidth="1"/>
    <col min="10" max="10" width="11" style="600" customWidth="1"/>
    <col min="11" max="11" width="8.625" style="600" customWidth="1"/>
    <col min="12" max="13" width="11.375" style="600" hidden="1" customWidth="1"/>
    <col min="14" max="14" width="10.75" style="600" customWidth="1"/>
    <col min="15" max="15" width="8.375" style="600" customWidth="1"/>
    <col min="16" max="16" width="10.375" style="600" customWidth="1"/>
    <col min="17" max="16384" width="9" style="600"/>
  </cols>
  <sheetData>
    <row r="1" s="600" customFormat="1" ht="24.75" customHeight="1" spans="1:16">
      <c r="A1" s="648" t="s">
        <v>84</v>
      </c>
      <c r="B1" s="602"/>
      <c r="C1" s="602"/>
      <c r="D1" s="602"/>
      <c r="E1" s="602"/>
      <c r="F1" s="602"/>
      <c r="G1" s="602"/>
      <c r="H1" s="602"/>
      <c r="I1" s="602"/>
      <c r="J1" s="602"/>
      <c r="K1" s="602"/>
      <c r="L1" s="602"/>
      <c r="M1" s="602"/>
      <c r="N1" s="602"/>
      <c r="O1" s="602"/>
      <c r="P1" s="214"/>
    </row>
    <row r="2" s="600" customFormat="1" ht="17.25" customHeight="1" spans="1:16">
      <c r="A2" s="603"/>
      <c r="B2" s="603"/>
      <c r="C2" s="603"/>
      <c r="D2" s="603"/>
      <c r="E2" s="603"/>
      <c r="F2" s="603"/>
      <c r="G2" s="603"/>
      <c r="H2" s="603"/>
      <c r="I2" s="603"/>
      <c r="J2" s="603"/>
      <c r="K2" s="611" t="s">
        <v>85</v>
      </c>
      <c r="L2" s="611"/>
      <c r="M2" s="611"/>
      <c r="N2" s="611"/>
      <c r="O2" s="612"/>
      <c r="P2" s="214"/>
    </row>
    <row r="3" s="600" customFormat="1" ht="18" customHeight="1" spans="1:16">
      <c r="A3" s="219" t="s">
        <v>86</v>
      </c>
      <c r="B3" s="220"/>
      <c r="C3" s="220"/>
      <c r="D3" s="604" t="s">
        <v>87</v>
      </c>
      <c r="E3" s="604" t="s">
        <v>87</v>
      </c>
      <c r="F3" s="221"/>
      <c r="G3" s="221"/>
      <c r="H3" s="221"/>
      <c r="I3" s="238" t="s">
        <v>88</v>
      </c>
      <c r="J3" s="239"/>
      <c r="K3" s="239"/>
      <c r="L3" s="604" t="s">
        <v>87</v>
      </c>
      <c r="M3" s="604" t="s">
        <v>87</v>
      </c>
      <c r="N3" s="220"/>
      <c r="O3" s="220"/>
      <c r="P3" s="245"/>
    </row>
    <row r="4" s="600" customFormat="1" ht="30" customHeight="1" spans="1:16">
      <c r="A4" s="222" t="s">
        <v>89</v>
      </c>
      <c r="B4" s="222" t="s">
        <v>90</v>
      </c>
      <c r="C4" s="649" t="s">
        <v>91</v>
      </c>
      <c r="D4" s="222" t="s">
        <v>92</v>
      </c>
      <c r="E4" s="222" t="s">
        <v>93</v>
      </c>
      <c r="F4" s="650" t="s">
        <v>94</v>
      </c>
      <c r="G4" s="609" t="s">
        <v>95</v>
      </c>
      <c r="H4" s="650" t="s">
        <v>96</v>
      </c>
      <c r="I4" s="222" t="s">
        <v>89</v>
      </c>
      <c r="J4" s="222" t="s">
        <v>90</v>
      </c>
      <c r="K4" s="222" t="s">
        <v>91</v>
      </c>
      <c r="L4" s="222" t="s">
        <v>92</v>
      </c>
      <c r="M4" s="222" t="s">
        <v>93</v>
      </c>
      <c r="N4" s="650" t="s">
        <v>94</v>
      </c>
      <c r="O4" s="609" t="s">
        <v>95</v>
      </c>
      <c r="P4" s="650" t="s">
        <v>96</v>
      </c>
    </row>
    <row r="5" s="601" customFormat="1" ht="26.25" customHeight="1" spans="1:16">
      <c r="A5" s="224" t="s">
        <v>97</v>
      </c>
      <c r="B5" s="225">
        <v>21946</v>
      </c>
      <c r="C5" s="225">
        <v>22098</v>
      </c>
      <c r="D5" s="225">
        <v>22605</v>
      </c>
      <c r="E5" s="225">
        <f t="shared" ref="E5:E69" si="0">F5-C5</f>
        <v>-974</v>
      </c>
      <c r="F5" s="225">
        <v>21124</v>
      </c>
      <c r="G5" s="225">
        <f t="shared" ref="G5:G69" si="1">F5-B5</f>
        <v>-822</v>
      </c>
      <c r="H5" s="241">
        <f t="shared" ref="H5:H18" si="2">G5/B5*100</f>
        <v>-3.75</v>
      </c>
      <c r="I5" s="224" t="s">
        <v>98</v>
      </c>
      <c r="J5" s="242">
        <v>327347</v>
      </c>
      <c r="K5" s="242">
        <v>365680</v>
      </c>
      <c r="L5" s="242">
        <v>395335</v>
      </c>
      <c r="M5" s="242">
        <f t="shared" ref="M5:M13" si="3">N5-K5</f>
        <v>-28327</v>
      </c>
      <c r="N5" s="242">
        <v>337353</v>
      </c>
      <c r="O5" s="242">
        <f t="shared" ref="O5:O13" si="4">N5-J5</f>
        <v>10006</v>
      </c>
      <c r="P5" s="246">
        <f>O5/J5*100</f>
        <v>3.06</v>
      </c>
    </row>
    <row r="6" s="601" customFormat="1" ht="26.25" customHeight="1" spans="1:16">
      <c r="A6" s="226" t="s">
        <v>99</v>
      </c>
      <c r="B6" s="225">
        <f t="shared" ref="B6:G6" si="5">SUM(B7,B72,B75,B78,B83,B89,B90)</f>
        <v>429666</v>
      </c>
      <c r="C6" s="225">
        <f t="shared" si="5"/>
        <v>348518</v>
      </c>
      <c r="D6" s="225">
        <f t="shared" si="5"/>
        <v>381830</v>
      </c>
      <c r="E6" s="225">
        <f t="shared" si="5"/>
        <v>51158</v>
      </c>
      <c r="F6" s="225">
        <f t="shared" si="5"/>
        <v>399676</v>
      </c>
      <c r="G6" s="225">
        <f t="shared" si="5"/>
        <v>-29990</v>
      </c>
      <c r="H6" s="241">
        <f t="shared" si="2"/>
        <v>-6.98</v>
      </c>
      <c r="I6" s="226" t="s">
        <v>100</v>
      </c>
      <c r="J6" s="242">
        <f t="shared" ref="J6:L6" si="6">J7+J14+J50+J72+J75+J78+J79+J80</f>
        <v>109422</v>
      </c>
      <c r="K6" s="242">
        <f t="shared" si="6"/>
        <v>4136</v>
      </c>
      <c r="L6" s="242">
        <f t="shared" si="6"/>
        <v>4100</v>
      </c>
      <c r="M6" s="242">
        <f>M7+M14+M50+M72+M75+M78+M79</f>
        <v>28918</v>
      </c>
      <c r="N6" s="242">
        <f>N7+N14+N50+N72+N75+N78+N79+N80</f>
        <v>78447</v>
      </c>
      <c r="O6" s="242">
        <f>O7+O14+O50+O72+O75+O78+O79</f>
        <v>-39967</v>
      </c>
      <c r="P6" s="246">
        <f>O6/J6*100</f>
        <v>-36.53</v>
      </c>
    </row>
    <row r="7" s="601" customFormat="1" ht="26.25" customHeight="1" spans="1:16">
      <c r="A7" s="227" t="s">
        <v>101</v>
      </c>
      <c r="B7" s="225">
        <f t="shared" ref="B7:F7" si="7">SUM(B8+B14+B50)</f>
        <v>326119</v>
      </c>
      <c r="C7" s="225">
        <f t="shared" si="7"/>
        <v>232033</v>
      </c>
      <c r="D7" s="225">
        <f t="shared" si="7"/>
        <v>272876</v>
      </c>
      <c r="E7" s="225">
        <f t="shared" si="0"/>
        <v>57292</v>
      </c>
      <c r="F7" s="225">
        <f t="shared" si="7"/>
        <v>289325</v>
      </c>
      <c r="G7" s="225">
        <f t="shared" si="1"/>
        <v>-36794</v>
      </c>
      <c r="H7" s="241">
        <f t="shared" si="2"/>
        <v>-11.28</v>
      </c>
      <c r="I7" s="243" t="s">
        <v>102</v>
      </c>
      <c r="J7" s="225">
        <f t="shared" ref="J7:O7" si="8">SUM(J8:J13)</f>
        <v>0</v>
      </c>
      <c r="K7" s="225">
        <f t="shared" si="8"/>
        <v>0</v>
      </c>
      <c r="L7" s="225">
        <f t="shared" si="8"/>
        <v>0</v>
      </c>
      <c r="M7" s="225">
        <f t="shared" si="8"/>
        <v>0</v>
      </c>
      <c r="N7" s="225">
        <f t="shared" si="8"/>
        <v>0</v>
      </c>
      <c r="O7" s="225">
        <f t="shared" si="8"/>
        <v>0</v>
      </c>
      <c r="P7" s="246"/>
    </row>
    <row r="8" s="601" customFormat="1" ht="26.25" customHeight="1" spans="1:16">
      <c r="A8" s="227" t="s">
        <v>103</v>
      </c>
      <c r="B8" s="225">
        <f t="shared" ref="B8:F8" si="9">SUM(B9:B13)</f>
        <v>3844</v>
      </c>
      <c r="C8" s="225">
        <f t="shared" si="9"/>
        <v>3844</v>
      </c>
      <c r="D8" s="225">
        <f t="shared" si="9"/>
        <v>3844</v>
      </c>
      <c r="E8" s="225">
        <f t="shared" si="0"/>
        <v>0</v>
      </c>
      <c r="F8" s="225">
        <f t="shared" si="9"/>
        <v>3844</v>
      </c>
      <c r="G8" s="225">
        <f t="shared" si="1"/>
        <v>0</v>
      </c>
      <c r="H8" s="241">
        <f t="shared" si="2"/>
        <v>0</v>
      </c>
      <c r="I8" s="230" t="s">
        <v>104</v>
      </c>
      <c r="J8" s="229"/>
      <c r="K8" s="229"/>
      <c r="L8" s="229"/>
      <c r="M8" s="242">
        <f t="shared" si="3"/>
        <v>0</v>
      </c>
      <c r="N8" s="229"/>
      <c r="O8" s="242">
        <f t="shared" si="4"/>
        <v>0</v>
      </c>
      <c r="P8" s="246"/>
    </row>
    <row r="9" s="601" customFormat="1" ht="26.25" customHeight="1" spans="1:16">
      <c r="A9" s="228" t="s">
        <v>105</v>
      </c>
      <c r="B9" s="605">
        <v>404</v>
      </c>
      <c r="C9" s="229">
        <v>404</v>
      </c>
      <c r="D9" s="229">
        <v>404</v>
      </c>
      <c r="E9" s="225">
        <f t="shared" si="0"/>
        <v>0</v>
      </c>
      <c r="F9" s="229">
        <v>404</v>
      </c>
      <c r="G9" s="229">
        <f t="shared" si="1"/>
        <v>0</v>
      </c>
      <c r="H9" s="610">
        <f t="shared" si="2"/>
        <v>0</v>
      </c>
      <c r="I9" s="230" t="s">
        <v>106</v>
      </c>
      <c r="J9" s="229"/>
      <c r="K9" s="229"/>
      <c r="L9" s="229"/>
      <c r="M9" s="242">
        <f t="shared" si="3"/>
        <v>0</v>
      </c>
      <c r="N9" s="229"/>
      <c r="O9" s="242">
        <f t="shared" si="4"/>
        <v>0</v>
      </c>
      <c r="P9" s="246"/>
    </row>
    <row r="10" s="601" customFormat="1" ht="26.25" customHeight="1" spans="1:16">
      <c r="A10" s="228" t="s">
        <v>107</v>
      </c>
      <c r="B10" s="553">
        <v>197</v>
      </c>
      <c r="C10" s="229">
        <v>197</v>
      </c>
      <c r="D10" s="229">
        <v>197</v>
      </c>
      <c r="E10" s="225">
        <f t="shared" si="0"/>
        <v>0</v>
      </c>
      <c r="F10" s="229">
        <v>197</v>
      </c>
      <c r="G10" s="229">
        <f t="shared" si="1"/>
        <v>0</v>
      </c>
      <c r="H10" s="610">
        <f t="shared" si="2"/>
        <v>0</v>
      </c>
      <c r="I10" s="230" t="s">
        <v>108</v>
      </c>
      <c r="J10" s="229"/>
      <c r="K10" s="229"/>
      <c r="L10" s="229"/>
      <c r="M10" s="242">
        <f t="shared" si="3"/>
        <v>0</v>
      </c>
      <c r="N10" s="229"/>
      <c r="O10" s="242">
        <f t="shared" si="4"/>
        <v>0</v>
      </c>
      <c r="P10" s="246"/>
    </row>
    <row r="11" s="601" customFormat="1" ht="26.25" customHeight="1" spans="1:16">
      <c r="A11" s="228" t="s">
        <v>109</v>
      </c>
      <c r="B11" s="606">
        <v>657</v>
      </c>
      <c r="C11" s="229">
        <v>657</v>
      </c>
      <c r="D11" s="229">
        <v>657</v>
      </c>
      <c r="E11" s="225">
        <f t="shared" si="0"/>
        <v>0</v>
      </c>
      <c r="F11" s="229">
        <v>657</v>
      </c>
      <c r="G11" s="229">
        <f t="shared" si="1"/>
        <v>0</v>
      </c>
      <c r="H11" s="610">
        <f t="shared" si="2"/>
        <v>0</v>
      </c>
      <c r="I11" s="230" t="s">
        <v>110</v>
      </c>
      <c r="J11" s="229"/>
      <c r="K11" s="229"/>
      <c r="L11" s="229"/>
      <c r="M11" s="242">
        <f t="shared" si="3"/>
        <v>0</v>
      </c>
      <c r="N11" s="229"/>
      <c r="O11" s="242">
        <f t="shared" si="4"/>
        <v>0</v>
      </c>
      <c r="P11" s="246"/>
    </row>
    <row r="12" s="601" customFormat="1" ht="26.25" customHeight="1" spans="1:16">
      <c r="A12" s="228" t="s">
        <v>111</v>
      </c>
      <c r="B12" s="553">
        <v>1979</v>
      </c>
      <c r="C12" s="229">
        <f t="shared" ref="C12:F12" si="10">2235-256</f>
        <v>1979</v>
      </c>
      <c r="D12" s="229">
        <f t="shared" si="10"/>
        <v>1979</v>
      </c>
      <c r="E12" s="225">
        <f t="shared" si="0"/>
        <v>0</v>
      </c>
      <c r="F12" s="229">
        <f t="shared" si="10"/>
        <v>1979</v>
      </c>
      <c r="G12" s="229">
        <f t="shared" si="1"/>
        <v>0</v>
      </c>
      <c r="H12" s="610">
        <f t="shared" si="2"/>
        <v>0</v>
      </c>
      <c r="I12" s="230" t="s">
        <v>112</v>
      </c>
      <c r="J12" s="229"/>
      <c r="K12" s="229"/>
      <c r="L12" s="229"/>
      <c r="M12" s="242">
        <f t="shared" si="3"/>
        <v>0</v>
      </c>
      <c r="N12" s="229"/>
      <c r="O12" s="242">
        <f t="shared" si="4"/>
        <v>0</v>
      </c>
      <c r="P12" s="246"/>
    </row>
    <row r="13" s="601" customFormat="1" ht="26.25" customHeight="1" spans="1:16">
      <c r="A13" s="228" t="s">
        <v>113</v>
      </c>
      <c r="B13" s="553">
        <v>607</v>
      </c>
      <c r="C13" s="229">
        <v>607</v>
      </c>
      <c r="D13" s="229">
        <v>607</v>
      </c>
      <c r="E13" s="225">
        <f t="shared" si="0"/>
        <v>0</v>
      </c>
      <c r="F13" s="229">
        <v>607</v>
      </c>
      <c r="G13" s="229">
        <f t="shared" si="1"/>
        <v>0</v>
      </c>
      <c r="H13" s="610">
        <f t="shared" si="2"/>
        <v>0</v>
      </c>
      <c r="I13" s="230" t="s">
        <v>114</v>
      </c>
      <c r="J13" s="229"/>
      <c r="K13" s="229"/>
      <c r="L13" s="229"/>
      <c r="M13" s="242">
        <f t="shared" si="3"/>
        <v>0</v>
      </c>
      <c r="N13" s="229"/>
      <c r="O13" s="242">
        <f t="shared" si="4"/>
        <v>0</v>
      </c>
      <c r="P13" s="246"/>
    </row>
    <row r="14" s="601" customFormat="1" ht="26.25" customHeight="1" spans="1:16">
      <c r="A14" s="651" t="s">
        <v>115</v>
      </c>
      <c r="B14" s="225">
        <f t="shared" ref="B14:F14" si="11">SUM(B15:B49)</f>
        <v>297406</v>
      </c>
      <c r="C14" s="225">
        <f t="shared" si="11"/>
        <v>226816</v>
      </c>
      <c r="D14" s="225">
        <f t="shared" si="11"/>
        <v>260082</v>
      </c>
      <c r="E14" s="225">
        <f t="shared" si="0"/>
        <v>46424</v>
      </c>
      <c r="F14" s="225">
        <f t="shared" si="11"/>
        <v>273240</v>
      </c>
      <c r="G14" s="225">
        <f t="shared" si="1"/>
        <v>-24166</v>
      </c>
      <c r="H14" s="241">
        <f t="shared" si="2"/>
        <v>-8.13</v>
      </c>
      <c r="I14" s="243" t="s">
        <v>116</v>
      </c>
      <c r="J14" s="244">
        <f t="shared" ref="J14:O14" si="12">SUM(J15:J49)</f>
        <v>0</v>
      </c>
      <c r="K14" s="244">
        <f t="shared" si="12"/>
        <v>0</v>
      </c>
      <c r="L14" s="244">
        <f t="shared" si="12"/>
        <v>0</v>
      </c>
      <c r="M14" s="244">
        <f t="shared" si="12"/>
        <v>0</v>
      </c>
      <c r="N14" s="244">
        <f t="shared" si="12"/>
        <v>0</v>
      </c>
      <c r="O14" s="244">
        <f t="shared" si="12"/>
        <v>0</v>
      </c>
      <c r="P14" s="246"/>
    </row>
    <row r="15" s="601" customFormat="1" ht="26.25" customHeight="1" spans="1:16">
      <c r="A15" s="230" t="s">
        <v>117</v>
      </c>
      <c r="B15" s="553">
        <v>1764</v>
      </c>
      <c r="C15" s="229">
        <v>1764</v>
      </c>
      <c r="D15" s="229">
        <v>1764</v>
      </c>
      <c r="E15" s="225">
        <f t="shared" si="0"/>
        <v>0</v>
      </c>
      <c r="F15" s="229">
        <v>1764</v>
      </c>
      <c r="G15" s="229">
        <f t="shared" si="1"/>
        <v>0</v>
      </c>
      <c r="H15" s="610">
        <f t="shared" si="2"/>
        <v>0</v>
      </c>
      <c r="I15" s="230" t="s">
        <v>118</v>
      </c>
      <c r="J15" s="225">
        <f t="shared" ref="J15:N15" si="13">SUM(J16:J29)</f>
        <v>0</v>
      </c>
      <c r="K15" s="225">
        <f t="shared" si="13"/>
        <v>0</v>
      </c>
      <c r="L15" s="225"/>
      <c r="M15" s="242">
        <f t="shared" ref="M15:M49" si="14">N15-K15</f>
        <v>0</v>
      </c>
      <c r="N15" s="225">
        <f t="shared" si="13"/>
        <v>0</v>
      </c>
      <c r="O15" s="242">
        <f t="shared" ref="O15:O49" si="15">N15-J15</f>
        <v>0</v>
      </c>
      <c r="P15" s="246"/>
    </row>
    <row r="16" s="601" customFormat="1" ht="26.25" customHeight="1" spans="1:16">
      <c r="A16" s="230" t="s">
        <v>119</v>
      </c>
      <c r="B16" s="553">
        <v>67974</v>
      </c>
      <c r="C16" s="607">
        <f>53272+10509</f>
        <v>63781</v>
      </c>
      <c r="D16" s="229">
        <v>63029</v>
      </c>
      <c r="E16" s="225">
        <f t="shared" si="0"/>
        <v>6851</v>
      </c>
      <c r="F16" s="229">
        <v>70632</v>
      </c>
      <c r="G16" s="229">
        <f t="shared" si="1"/>
        <v>2658</v>
      </c>
      <c r="H16" s="610">
        <f t="shared" si="2"/>
        <v>3.91</v>
      </c>
      <c r="I16" s="230" t="s">
        <v>120</v>
      </c>
      <c r="J16" s="229"/>
      <c r="K16" s="229"/>
      <c r="L16" s="229"/>
      <c r="M16" s="242">
        <f t="shared" si="14"/>
        <v>0</v>
      </c>
      <c r="N16" s="229"/>
      <c r="O16" s="242">
        <f t="shared" si="15"/>
        <v>0</v>
      </c>
      <c r="P16" s="246"/>
    </row>
    <row r="17" s="601" customFormat="1" ht="26.25" customHeight="1" spans="1:16">
      <c r="A17" s="230" t="s">
        <v>121</v>
      </c>
      <c r="B17" s="553">
        <v>16910</v>
      </c>
      <c r="C17" s="607">
        <f>16014+896</f>
        <v>16910</v>
      </c>
      <c r="D17" s="229">
        <v>16014</v>
      </c>
      <c r="E17" s="225">
        <f t="shared" si="0"/>
        <v>2800</v>
      </c>
      <c r="F17" s="229">
        <v>19710</v>
      </c>
      <c r="G17" s="229">
        <f t="shared" si="1"/>
        <v>2800</v>
      </c>
      <c r="H17" s="610">
        <f t="shared" si="2"/>
        <v>16.56</v>
      </c>
      <c r="I17" s="230" t="s">
        <v>122</v>
      </c>
      <c r="J17" s="229"/>
      <c r="K17" s="229"/>
      <c r="L17" s="229"/>
      <c r="M17" s="242">
        <f t="shared" si="14"/>
        <v>0</v>
      </c>
      <c r="N17" s="229"/>
      <c r="O17" s="242">
        <f t="shared" si="15"/>
        <v>0</v>
      </c>
      <c r="P17" s="246"/>
    </row>
    <row r="18" s="601" customFormat="1" ht="26.25" customHeight="1" spans="1:16">
      <c r="A18" s="230" t="s">
        <v>123</v>
      </c>
      <c r="B18" s="553">
        <v>7990</v>
      </c>
      <c r="C18" s="607">
        <f>376+339</f>
        <v>715</v>
      </c>
      <c r="D18" s="229">
        <v>3487</v>
      </c>
      <c r="E18" s="225">
        <f t="shared" si="0"/>
        <v>2772</v>
      </c>
      <c r="F18" s="229">
        <v>3487</v>
      </c>
      <c r="G18" s="229">
        <f t="shared" si="1"/>
        <v>-4503</v>
      </c>
      <c r="H18" s="610">
        <f t="shared" si="2"/>
        <v>-56.36</v>
      </c>
      <c r="I18" s="230" t="s">
        <v>124</v>
      </c>
      <c r="J18" s="229"/>
      <c r="K18" s="229"/>
      <c r="L18" s="229"/>
      <c r="M18" s="242">
        <f t="shared" si="14"/>
        <v>0</v>
      </c>
      <c r="N18" s="229"/>
      <c r="O18" s="242">
        <f t="shared" si="15"/>
        <v>0</v>
      </c>
      <c r="P18" s="246"/>
    </row>
    <row r="19" s="601" customFormat="1" ht="26.25" customHeight="1" spans="1:16">
      <c r="A19" s="230" t="s">
        <v>125</v>
      </c>
      <c r="B19" s="553"/>
      <c r="C19" s="229"/>
      <c r="D19" s="229"/>
      <c r="E19" s="225">
        <f t="shared" si="0"/>
        <v>0</v>
      </c>
      <c r="F19" s="229"/>
      <c r="G19" s="229">
        <f t="shared" si="1"/>
        <v>0</v>
      </c>
      <c r="H19" s="610"/>
      <c r="I19" s="230" t="s">
        <v>126</v>
      </c>
      <c r="J19" s="229"/>
      <c r="K19" s="229"/>
      <c r="L19" s="229"/>
      <c r="M19" s="242">
        <f t="shared" si="14"/>
        <v>0</v>
      </c>
      <c r="N19" s="229"/>
      <c r="O19" s="242">
        <f t="shared" si="15"/>
        <v>0</v>
      </c>
      <c r="P19" s="246"/>
    </row>
    <row r="20" s="601" customFormat="1" ht="26.25" customHeight="1" spans="1:16">
      <c r="A20" s="230" t="s">
        <v>127</v>
      </c>
      <c r="B20" s="553"/>
      <c r="C20" s="229"/>
      <c r="D20" s="229"/>
      <c r="E20" s="225">
        <f t="shared" si="0"/>
        <v>0</v>
      </c>
      <c r="F20" s="229"/>
      <c r="G20" s="229">
        <f t="shared" si="1"/>
        <v>0</v>
      </c>
      <c r="H20" s="610"/>
      <c r="I20" s="230" t="s">
        <v>128</v>
      </c>
      <c r="J20" s="225">
        <f t="shared" ref="J20:N20" si="16">SUM(J21:J39)</f>
        <v>0</v>
      </c>
      <c r="K20" s="225">
        <f t="shared" si="16"/>
        <v>0</v>
      </c>
      <c r="L20" s="225"/>
      <c r="M20" s="242">
        <f t="shared" si="14"/>
        <v>0</v>
      </c>
      <c r="N20" s="225">
        <f t="shared" si="16"/>
        <v>0</v>
      </c>
      <c r="O20" s="242">
        <f t="shared" si="15"/>
        <v>0</v>
      </c>
      <c r="P20" s="246"/>
    </row>
    <row r="21" s="601" customFormat="1" ht="26.25" customHeight="1" spans="1:16">
      <c r="A21" s="230" t="s">
        <v>129</v>
      </c>
      <c r="B21" s="553">
        <v>883</v>
      </c>
      <c r="C21" s="229">
        <v>794</v>
      </c>
      <c r="D21" s="229">
        <v>899</v>
      </c>
      <c r="E21" s="225">
        <f t="shared" si="0"/>
        <v>105</v>
      </c>
      <c r="F21" s="229">
        <v>899</v>
      </c>
      <c r="G21" s="229">
        <f t="shared" si="1"/>
        <v>16</v>
      </c>
      <c r="H21" s="610">
        <f t="shared" ref="H21:H25" si="17">G21/B21*100</f>
        <v>1.81</v>
      </c>
      <c r="I21" s="230" t="s">
        <v>130</v>
      </c>
      <c r="J21" s="229"/>
      <c r="K21" s="229"/>
      <c r="L21" s="229"/>
      <c r="M21" s="242">
        <f t="shared" si="14"/>
        <v>0</v>
      </c>
      <c r="N21" s="229"/>
      <c r="O21" s="242">
        <f t="shared" si="15"/>
        <v>0</v>
      </c>
      <c r="P21" s="246"/>
    </row>
    <row r="22" s="601" customFormat="1" ht="26.25" customHeight="1" spans="1:16">
      <c r="A22" s="230" t="s">
        <v>131</v>
      </c>
      <c r="B22" s="553">
        <v>12006</v>
      </c>
      <c r="C22" s="608">
        <f>8135+4000</f>
        <v>12135</v>
      </c>
      <c r="D22" s="233">
        <v>10256</v>
      </c>
      <c r="E22" s="225">
        <f t="shared" si="0"/>
        <v>-1879</v>
      </c>
      <c r="F22" s="233">
        <v>10256</v>
      </c>
      <c r="G22" s="229">
        <f t="shared" si="1"/>
        <v>-1750</v>
      </c>
      <c r="H22" s="610">
        <f t="shared" si="17"/>
        <v>-14.58</v>
      </c>
      <c r="I22" s="230" t="s">
        <v>132</v>
      </c>
      <c r="J22" s="229"/>
      <c r="K22" s="229"/>
      <c r="L22" s="229"/>
      <c r="M22" s="242">
        <f t="shared" si="14"/>
        <v>0</v>
      </c>
      <c r="N22" s="229"/>
      <c r="O22" s="242">
        <f t="shared" si="15"/>
        <v>0</v>
      </c>
      <c r="P22" s="246"/>
    </row>
    <row r="23" s="601" customFormat="1" ht="26.25" customHeight="1" spans="1:16">
      <c r="A23" s="230" t="s">
        <v>133</v>
      </c>
      <c r="B23" s="553">
        <v>13472</v>
      </c>
      <c r="C23" s="233">
        <f>13134</f>
        <v>13134</v>
      </c>
      <c r="D23" s="233">
        <v>13572</v>
      </c>
      <c r="E23" s="225">
        <f t="shared" si="0"/>
        <v>438</v>
      </c>
      <c r="F23" s="233">
        <v>13572</v>
      </c>
      <c r="G23" s="229">
        <f t="shared" si="1"/>
        <v>100</v>
      </c>
      <c r="H23" s="610">
        <f t="shared" si="17"/>
        <v>0.74</v>
      </c>
      <c r="I23" s="230" t="s">
        <v>134</v>
      </c>
      <c r="J23" s="229"/>
      <c r="K23" s="229"/>
      <c r="L23" s="229"/>
      <c r="M23" s="242">
        <f t="shared" si="14"/>
        <v>0</v>
      </c>
      <c r="N23" s="229"/>
      <c r="O23" s="242">
        <f t="shared" si="15"/>
        <v>0</v>
      </c>
      <c r="P23" s="246"/>
    </row>
    <row r="24" s="601" customFormat="1" ht="26.25" customHeight="1" spans="1:16">
      <c r="A24" s="230" t="s">
        <v>135</v>
      </c>
      <c r="B24" s="553">
        <v>1003</v>
      </c>
      <c r="C24" s="233">
        <v>903</v>
      </c>
      <c r="D24" s="233">
        <v>1103</v>
      </c>
      <c r="E24" s="225">
        <f t="shared" si="0"/>
        <v>200</v>
      </c>
      <c r="F24" s="233">
        <v>1103</v>
      </c>
      <c r="G24" s="229">
        <f t="shared" si="1"/>
        <v>100</v>
      </c>
      <c r="H24" s="610">
        <f t="shared" si="17"/>
        <v>9.97</v>
      </c>
      <c r="I24" s="230" t="s">
        <v>136</v>
      </c>
      <c r="J24" s="229"/>
      <c r="K24" s="229"/>
      <c r="L24" s="229"/>
      <c r="M24" s="242">
        <f t="shared" si="14"/>
        <v>0</v>
      </c>
      <c r="N24" s="229"/>
      <c r="O24" s="242">
        <f t="shared" si="15"/>
        <v>0</v>
      </c>
      <c r="P24" s="246"/>
    </row>
    <row r="25" s="601" customFormat="1" ht="26.25" customHeight="1" spans="1:16">
      <c r="A25" s="230" t="s">
        <v>137</v>
      </c>
      <c r="B25" s="553">
        <v>22256</v>
      </c>
      <c r="C25" s="608">
        <f>11487+10769</f>
        <v>22256</v>
      </c>
      <c r="D25" s="233">
        <v>11487</v>
      </c>
      <c r="E25" s="225">
        <f t="shared" si="0"/>
        <v>-9264</v>
      </c>
      <c r="F25" s="233">
        <v>12992</v>
      </c>
      <c r="G25" s="229">
        <f t="shared" si="1"/>
        <v>-9264</v>
      </c>
      <c r="H25" s="610">
        <f t="shared" si="17"/>
        <v>-41.62</v>
      </c>
      <c r="I25" s="230" t="s">
        <v>138</v>
      </c>
      <c r="J25" s="229"/>
      <c r="K25" s="229"/>
      <c r="L25" s="229"/>
      <c r="M25" s="242">
        <f t="shared" si="14"/>
        <v>0</v>
      </c>
      <c r="N25" s="229"/>
      <c r="O25" s="242">
        <f t="shared" si="15"/>
        <v>0</v>
      </c>
      <c r="P25" s="246"/>
    </row>
    <row r="26" s="601" customFormat="1" ht="26.25" customHeight="1" spans="1:16">
      <c r="A26" s="230" t="s">
        <v>139</v>
      </c>
      <c r="B26" s="553"/>
      <c r="C26" s="229"/>
      <c r="D26" s="229"/>
      <c r="E26" s="225">
        <f t="shared" si="0"/>
        <v>0</v>
      </c>
      <c r="F26" s="229"/>
      <c r="G26" s="229">
        <f t="shared" si="1"/>
        <v>0</v>
      </c>
      <c r="H26" s="610"/>
      <c r="I26" s="230" t="s">
        <v>140</v>
      </c>
      <c r="J26" s="229"/>
      <c r="K26" s="229"/>
      <c r="L26" s="229"/>
      <c r="M26" s="242">
        <f t="shared" si="14"/>
        <v>0</v>
      </c>
      <c r="N26" s="229"/>
      <c r="O26" s="242">
        <f t="shared" si="15"/>
        <v>0</v>
      </c>
      <c r="P26" s="246"/>
    </row>
    <row r="27" s="601" customFormat="1" ht="26.25" customHeight="1" spans="1:16">
      <c r="A27" s="230" t="s">
        <v>141</v>
      </c>
      <c r="B27" s="553">
        <v>62174</v>
      </c>
      <c r="C27" s="229">
        <v>34839</v>
      </c>
      <c r="D27" s="229">
        <v>52239</v>
      </c>
      <c r="E27" s="225">
        <f t="shared" si="0"/>
        <v>17600</v>
      </c>
      <c r="F27" s="229">
        <v>52439</v>
      </c>
      <c r="G27" s="229">
        <f t="shared" si="1"/>
        <v>-9735</v>
      </c>
      <c r="H27" s="610"/>
      <c r="I27" s="230" t="s">
        <v>142</v>
      </c>
      <c r="J27" s="229"/>
      <c r="K27" s="229"/>
      <c r="L27" s="229"/>
      <c r="M27" s="242">
        <f t="shared" si="14"/>
        <v>0</v>
      </c>
      <c r="N27" s="229"/>
      <c r="O27" s="242">
        <f t="shared" si="15"/>
        <v>0</v>
      </c>
      <c r="P27" s="246"/>
    </row>
    <row r="28" s="601" customFormat="1" ht="26.25" customHeight="1" spans="1:16">
      <c r="A28" s="230" t="s">
        <v>143</v>
      </c>
      <c r="B28" s="553"/>
      <c r="C28" s="229"/>
      <c r="D28" s="229"/>
      <c r="E28" s="225">
        <f t="shared" si="0"/>
        <v>0</v>
      </c>
      <c r="F28" s="229"/>
      <c r="G28" s="229">
        <f t="shared" si="1"/>
        <v>0</v>
      </c>
      <c r="H28" s="610"/>
      <c r="I28" s="230" t="s">
        <v>144</v>
      </c>
      <c r="J28" s="229"/>
      <c r="K28" s="229"/>
      <c r="L28" s="229"/>
      <c r="M28" s="242">
        <f t="shared" si="14"/>
        <v>0</v>
      </c>
      <c r="N28" s="229"/>
      <c r="O28" s="242">
        <f t="shared" si="15"/>
        <v>0</v>
      </c>
      <c r="P28" s="246"/>
    </row>
    <row r="29" s="601" customFormat="1" ht="26.25" customHeight="1" spans="1:16">
      <c r="A29" s="230" t="s">
        <v>145</v>
      </c>
      <c r="B29" s="553"/>
      <c r="C29" s="229"/>
      <c r="D29" s="229"/>
      <c r="E29" s="225">
        <f t="shared" si="0"/>
        <v>0</v>
      </c>
      <c r="F29" s="229"/>
      <c r="G29" s="229">
        <f t="shared" si="1"/>
        <v>0</v>
      </c>
      <c r="H29" s="610"/>
      <c r="I29" s="230" t="s">
        <v>146</v>
      </c>
      <c r="J29" s="229"/>
      <c r="K29" s="229"/>
      <c r="L29" s="229"/>
      <c r="M29" s="242">
        <f t="shared" si="14"/>
        <v>0</v>
      </c>
      <c r="N29" s="229"/>
      <c r="O29" s="242">
        <f t="shared" si="15"/>
        <v>0</v>
      </c>
      <c r="P29" s="246"/>
    </row>
    <row r="30" s="601" customFormat="1" ht="26.25" customHeight="1" spans="1:16">
      <c r="A30" s="230" t="s">
        <v>147</v>
      </c>
      <c r="B30" s="553"/>
      <c r="C30" s="229"/>
      <c r="D30" s="229"/>
      <c r="E30" s="225">
        <f t="shared" si="0"/>
        <v>0</v>
      </c>
      <c r="F30" s="229"/>
      <c r="G30" s="229">
        <f t="shared" si="1"/>
        <v>0</v>
      </c>
      <c r="H30" s="610"/>
      <c r="I30" s="230" t="s">
        <v>148</v>
      </c>
      <c r="J30" s="225">
        <f t="shared" ref="J30:N30" si="18">SUM(J31:J49)</f>
        <v>0</v>
      </c>
      <c r="K30" s="225">
        <f t="shared" si="18"/>
        <v>0</v>
      </c>
      <c r="L30" s="225"/>
      <c r="M30" s="242">
        <f t="shared" si="14"/>
        <v>0</v>
      </c>
      <c r="N30" s="225">
        <f t="shared" si="18"/>
        <v>0</v>
      </c>
      <c r="O30" s="242">
        <f t="shared" si="15"/>
        <v>0</v>
      </c>
      <c r="P30" s="246"/>
    </row>
    <row r="31" s="601" customFormat="1" ht="26.25" customHeight="1" spans="1:16">
      <c r="A31" s="230" t="s">
        <v>149</v>
      </c>
      <c r="B31" s="553">
        <v>1700</v>
      </c>
      <c r="C31" s="229">
        <v>8</v>
      </c>
      <c r="D31" s="229">
        <v>1483</v>
      </c>
      <c r="E31" s="225">
        <f t="shared" si="0"/>
        <v>1560</v>
      </c>
      <c r="F31" s="229">
        <v>1568</v>
      </c>
      <c r="G31" s="229">
        <f t="shared" si="1"/>
        <v>-132</v>
      </c>
      <c r="H31" s="610">
        <f t="shared" ref="H31:H36" si="19">G31/B31*100</f>
        <v>-7.76</v>
      </c>
      <c r="I31" s="230" t="s">
        <v>150</v>
      </c>
      <c r="J31" s="229"/>
      <c r="K31" s="229"/>
      <c r="L31" s="229"/>
      <c r="M31" s="242">
        <f t="shared" si="14"/>
        <v>0</v>
      </c>
      <c r="N31" s="229"/>
      <c r="O31" s="242">
        <f t="shared" si="15"/>
        <v>0</v>
      </c>
      <c r="P31" s="246"/>
    </row>
    <row r="32" s="601" customFormat="1" ht="26.25" customHeight="1" spans="1:16">
      <c r="A32" s="230" t="s">
        <v>151</v>
      </c>
      <c r="B32" s="553">
        <v>20340</v>
      </c>
      <c r="C32" s="607">
        <f>3241+10000</f>
        <v>13241</v>
      </c>
      <c r="D32" s="229">
        <v>21362</v>
      </c>
      <c r="E32" s="225">
        <f t="shared" si="0"/>
        <v>8204</v>
      </c>
      <c r="F32" s="233">
        <v>21445</v>
      </c>
      <c r="G32" s="229">
        <f t="shared" si="1"/>
        <v>1105</v>
      </c>
      <c r="H32" s="610">
        <f t="shared" si="19"/>
        <v>5.43</v>
      </c>
      <c r="I32" s="230" t="s">
        <v>152</v>
      </c>
      <c r="J32" s="229"/>
      <c r="K32" s="229"/>
      <c r="L32" s="229"/>
      <c r="M32" s="242">
        <f t="shared" si="14"/>
        <v>0</v>
      </c>
      <c r="N32" s="229"/>
      <c r="O32" s="242">
        <f t="shared" si="15"/>
        <v>0</v>
      </c>
      <c r="P32" s="246"/>
    </row>
    <row r="33" s="601" customFormat="1" ht="26.25" customHeight="1" spans="1:16">
      <c r="A33" s="230" t="s">
        <v>153</v>
      </c>
      <c r="B33" s="553"/>
      <c r="C33" s="233"/>
      <c r="D33" s="233"/>
      <c r="E33" s="225">
        <f t="shared" si="0"/>
        <v>0</v>
      </c>
      <c r="F33" s="233"/>
      <c r="G33" s="229">
        <f t="shared" si="1"/>
        <v>0</v>
      </c>
      <c r="H33" s="610"/>
      <c r="I33" s="230" t="s">
        <v>154</v>
      </c>
      <c r="J33" s="229"/>
      <c r="K33" s="229"/>
      <c r="L33" s="229"/>
      <c r="M33" s="242">
        <f t="shared" si="14"/>
        <v>0</v>
      </c>
      <c r="N33" s="229"/>
      <c r="O33" s="242">
        <f t="shared" si="15"/>
        <v>0</v>
      </c>
      <c r="P33" s="246"/>
    </row>
    <row r="34" s="601" customFormat="1" ht="26.25" customHeight="1" spans="1:16">
      <c r="A34" s="230" t="s">
        <v>155</v>
      </c>
      <c r="B34" s="553">
        <v>853</v>
      </c>
      <c r="C34" s="233"/>
      <c r="D34" s="229">
        <v>948</v>
      </c>
      <c r="E34" s="225">
        <f t="shared" si="0"/>
        <v>948</v>
      </c>
      <c r="F34" s="233">
        <v>948</v>
      </c>
      <c r="G34" s="229">
        <f t="shared" si="1"/>
        <v>95</v>
      </c>
      <c r="H34" s="610">
        <f t="shared" si="19"/>
        <v>11.14</v>
      </c>
      <c r="I34" s="230" t="s">
        <v>156</v>
      </c>
      <c r="J34" s="229"/>
      <c r="K34" s="229"/>
      <c r="L34" s="229"/>
      <c r="M34" s="242">
        <f t="shared" si="14"/>
        <v>0</v>
      </c>
      <c r="N34" s="229"/>
      <c r="O34" s="242">
        <f t="shared" si="15"/>
        <v>0</v>
      </c>
      <c r="P34" s="246"/>
    </row>
    <row r="35" s="601" customFormat="1" ht="26.25" customHeight="1" spans="1:16">
      <c r="A35" s="230" t="s">
        <v>157</v>
      </c>
      <c r="B35" s="553">
        <v>30288</v>
      </c>
      <c r="C35" s="607">
        <f>22164+3000</f>
        <v>25164</v>
      </c>
      <c r="D35" s="229">
        <v>31721</v>
      </c>
      <c r="E35" s="225">
        <f t="shared" si="0"/>
        <v>6682</v>
      </c>
      <c r="F35" s="233">
        <v>31846</v>
      </c>
      <c r="G35" s="229">
        <f t="shared" si="1"/>
        <v>1558</v>
      </c>
      <c r="H35" s="610">
        <f t="shared" si="19"/>
        <v>5.14</v>
      </c>
      <c r="I35" s="230" t="s">
        <v>158</v>
      </c>
      <c r="J35" s="229"/>
      <c r="K35" s="229"/>
      <c r="L35" s="229"/>
      <c r="M35" s="242">
        <f t="shared" si="14"/>
        <v>0</v>
      </c>
      <c r="N35" s="229"/>
      <c r="O35" s="242">
        <f t="shared" si="15"/>
        <v>0</v>
      </c>
      <c r="P35" s="246"/>
    </row>
    <row r="36" s="601" customFormat="1" ht="26.25" customHeight="1" spans="1:16">
      <c r="A36" s="230" t="s">
        <v>159</v>
      </c>
      <c r="B36" s="553">
        <v>7683</v>
      </c>
      <c r="C36" s="607">
        <f>4756+1000</f>
        <v>5756</v>
      </c>
      <c r="D36" s="229">
        <v>11496</v>
      </c>
      <c r="E36" s="225">
        <f t="shared" si="0"/>
        <v>5769</v>
      </c>
      <c r="F36" s="229">
        <v>11525</v>
      </c>
      <c r="G36" s="229">
        <f t="shared" si="1"/>
        <v>3842</v>
      </c>
      <c r="H36" s="610">
        <f t="shared" si="19"/>
        <v>50.01</v>
      </c>
      <c r="I36" s="230" t="s">
        <v>160</v>
      </c>
      <c r="J36" s="229"/>
      <c r="K36" s="229"/>
      <c r="L36" s="229"/>
      <c r="M36" s="242">
        <f t="shared" si="14"/>
        <v>0</v>
      </c>
      <c r="N36" s="229"/>
      <c r="O36" s="242">
        <f t="shared" si="15"/>
        <v>0</v>
      </c>
      <c r="P36" s="246"/>
    </row>
    <row r="37" s="601" customFormat="1" ht="26.25" customHeight="1" spans="1:16">
      <c r="A37" s="230" t="s">
        <v>161</v>
      </c>
      <c r="B37" s="553">
        <v>2181</v>
      </c>
      <c r="C37" s="229">
        <v>1660</v>
      </c>
      <c r="D37" s="229">
        <v>3212</v>
      </c>
      <c r="E37" s="225">
        <f t="shared" si="0"/>
        <v>1552</v>
      </c>
      <c r="F37" s="229">
        <v>3212</v>
      </c>
      <c r="G37" s="229">
        <f t="shared" si="1"/>
        <v>1031</v>
      </c>
      <c r="H37" s="610"/>
      <c r="I37" s="230" t="s">
        <v>162</v>
      </c>
      <c r="J37" s="229"/>
      <c r="K37" s="229"/>
      <c r="L37" s="229"/>
      <c r="M37" s="242">
        <f t="shared" si="14"/>
        <v>0</v>
      </c>
      <c r="N37" s="229"/>
      <c r="O37" s="242">
        <f t="shared" si="15"/>
        <v>0</v>
      </c>
      <c r="P37" s="246"/>
    </row>
    <row r="38" s="601" customFormat="1" ht="26.25" customHeight="1" spans="1:16">
      <c r="A38" s="230" t="s">
        <v>163</v>
      </c>
      <c r="B38" s="553"/>
      <c r="C38" s="229"/>
      <c r="D38" s="229"/>
      <c r="E38" s="225">
        <f t="shared" si="0"/>
        <v>0</v>
      </c>
      <c r="F38" s="229"/>
      <c r="G38" s="229">
        <f t="shared" si="1"/>
        <v>0</v>
      </c>
      <c r="H38" s="610"/>
      <c r="I38" s="230" t="s">
        <v>164</v>
      </c>
      <c r="J38" s="229"/>
      <c r="K38" s="229"/>
      <c r="L38" s="229"/>
      <c r="M38" s="242">
        <f t="shared" si="14"/>
        <v>0</v>
      </c>
      <c r="N38" s="229"/>
      <c r="O38" s="242">
        <f t="shared" si="15"/>
        <v>0</v>
      </c>
      <c r="P38" s="246"/>
    </row>
    <row r="39" s="601" customFormat="1" ht="26.25" customHeight="1" spans="1:16">
      <c r="A39" s="230" t="s">
        <v>165</v>
      </c>
      <c r="B39" s="553">
        <v>17947</v>
      </c>
      <c r="C39" s="607">
        <f>5122+7121</f>
        <v>12243</v>
      </c>
      <c r="D39" s="229">
        <v>11523</v>
      </c>
      <c r="E39" s="225">
        <f t="shared" si="0"/>
        <v>-997</v>
      </c>
      <c r="F39" s="229">
        <v>11246</v>
      </c>
      <c r="G39" s="229">
        <f t="shared" si="1"/>
        <v>-6701</v>
      </c>
      <c r="H39" s="610">
        <f>G39/B39*100</f>
        <v>-37.34</v>
      </c>
      <c r="I39" s="230" t="s">
        <v>166</v>
      </c>
      <c r="J39" s="229"/>
      <c r="K39" s="229"/>
      <c r="L39" s="229"/>
      <c r="M39" s="242">
        <f t="shared" si="14"/>
        <v>0</v>
      </c>
      <c r="N39" s="229"/>
      <c r="O39" s="242">
        <f t="shared" si="15"/>
        <v>0</v>
      </c>
      <c r="P39" s="246"/>
    </row>
    <row r="40" s="601" customFormat="1" ht="26.25" customHeight="1" spans="1:16">
      <c r="A40" s="230" t="s">
        <v>167</v>
      </c>
      <c r="B40" s="553">
        <v>7426</v>
      </c>
      <c r="C40" s="229">
        <v>791</v>
      </c>
      <c r="D40" s="229">
        <v>1677</v>
      </c>
      <c r="E40" s="225">
        <f t="shared" si="0"/>
        <v>928</v>
      </c>
      <c r="F40" s="229">
        <v>1719</v>
      </c>
      <c r="G40" s="229">
        <f t="shared" si="1"/>
        <v>-5707</v>
      </c>
      <c r="H40" s="610"/>
      <c r="I40" s="230" t="s">
        <v>168</v>
      </c>
      <c r="J40" s="229"/>
      <c r="K40" s="229"/>
      <c r="L40" s="229"/>
      <c r="M40" s="242">
        <f t="shared" si="14"/>
        <v>0</v>
      </c>
      <c r="N40" s="229"/>
      <c r="O40" s="242">
        <f t="shared" si="15"/>
        <v>0</v>
      </c>
      <c r="P40" s="246"/>
    </row>
    <row r="41" s="601" customFormat="1" ht="26.25" customHeight="1" spans="1:16">
      <c r="A41" s="230" t="s">
        <v>169</v>
      </c>
      <c r="B41" s="553"/>
      <c r="C41" s="229"/>
      <c r="D41" s="229"/>
      <c r="E41" s="225">
        <f t="shared" si="0"/>
        <v>0</v>
      </c>
      <c r="F41" s="229"/>
      <c r="G41" s="229">
        <f t="shared" si="1"/>
        <v>0</v>
      </c>
      <c r="H41" s="610"/>
      <c r="I41" s="230" t="s">
        <v>170</v>
      </c>
      <c r="J41" s="229"/>
      <c r="K41" s="229"/>
      <c r="L41" s="229"/>
      <c r="M41" s="242">
        <f t="shared" si="14"/>
        <v>0</v>
      </c>
      <c r="N41" s="229"/>
      <c r="O41" s="242">
        <f t="shared" si="15"/>
        <v>0</v>
      </c>
      <c r="P41" s="246"/>
    </row>
    <row r="42" s="601" customFormat="1" ht="26.25" customHeight="1" spans="1:16">
      <c r="A42" s="230" t="s">
        <v>171</v>
      </c>
      <c r="B42" s="553"/>
      <c r="C42" s="229"/>
      <c r="D42" s="229"/>
      <c r="E42" s="225">
        <f t="shared" si="0"/>
        <v>0</v>
      </c>
      <c r="F42" s="229"/>
      <c r="G42" s="229">
        <f t="shared" si="1"/>
        <v>0</v>
      </c>
      <c r="H42" s="610"/>
      <c r="I42" s="230" t="s">
        <v>172</v>
      </c>
      <c r="J42" s="229"/>
      <c r="K42" s="229"/>
      <c r="L42" s="229"/>
      <c r="M42" s="242">
        <f t="shared" si="14"/>
        <v>0</v>
      </c>
      <c r="N42" s="229"/>
      <c r="O42" s="242">
        <f t="shared" si="15"/>
        <v>0</v>
      </c>
      <c r="P42" s="246"/>
    </row>
    <row r="43" s="601" customFormat="1" ht="26.25" customHeight="1" spans="1:16">
      <c r="A43" s="230" t="s">
        <v>173</v>
      </c>
      <c r="B43" s="553"/>
      <c r="C43" s="229"/>
      <c r="D43" s="229"/>
      <c r="E43" s="225">
        <f t="shared" si="0"/>
        <v>0</v>
      </c>
      <c r="F43" s="229"/>
      <c r="G43" s="229">
        <f t="shared" si="1"/>
        <v>0</v>
      </c>
      <c r="H43" s="610"/>
      <c r="I43" s="230" t="s">
        <v>174</v>
      </c>
      <c r="J43" s="229"/>
      <c r="K43" s="229"/>
      <c r="L43" s="229"/>
      <c r="M43" s="242">
        <f t="shared" si="14"/>
        <v>0</v>
      </c>
      <c r="N43" s="229"/>
      <c r="O43" s="242">
        <f t="shared" si="15"/>
        <v>0</v>
      </c>
      <c r="P43" s="246"/>
    </row>
    <row r="44" s="601" customFormat="1" ht="26.25" customHeight="1" spans="1:16">
      <c r="A44" s="230" t="s">
        <v>175</v>
      </c>
      <c r="B44" s="553"/>
      <c r="C44" s="229"/>
      <c r="D44" s="229"/>
      <c r="E44" s="225">
        <f t="shared" si="0"/>
        <v>0</v>
      </c>
      <c r="F44" s="229"/>
      <c r="G44" s="229">
        <f t="shared" si="1"/>
        <v>0</v>
      </c>
      <c r="H44" s="610"/>
      <c r="I44" s="230" t="s">
        <v>176</v>
      </c>
      <c r="J44" s="229"/>
      <c r="K44" s="229"/>
      <c r="L44" s="229"/>
      <c r="M44" s="242">
        <f t="shared" si="14"/>
        <v>0</v>
      </c>
      <c r="N44" s="229"/>
      <c r="O44" s="242">
        <f t="shared" si="15"/>
        <v>0</v>
      </c>
      <c r="P44" s="246"/>
    </row>
    <row r="45" s="601" customFormat="1" ht="26.25" customHeight="1" spans="1:16">
      <c r="A45" s="230" t="s">
        <v>177</v>
      </c>
      <c r="B45" s="553">
        <v>404</v>
      </c>
      <c r="C45" s="229">
        <v>492</v>
      </c>
      <c r="D45" s="229">
        <v>602</v>
      </c>
      <c r="E45" s="225">
        <f t="shared" si="0"/>
        <v>110</v>
      </c>
      <c r="F45" s="229">
        <v>602</v>
      </c>
      <c r="G45" s="229">
        <f t="shared" si="1"/>
        <v>198</v>
      </c>
      <c r="H45" s="610">
        <f t="shared" ref="H45:H51" si="20">G45/B45*100</f>
        <v>49.01</v>
      </c>
      <c r="I45" s="230" t="s">
        <v>178</v>
      </c>
      <c r="J45" s="229"/>
      <c r="K45" s="229"/>
      <c r="L45" s="229"/>
      <c r="M45" s="242">
        <f t="shared" si="14"/>
        <v>0</v>
      </c>
      <c r="N45" s="229"/>
      <c r="O45" s="242">
        <f t="shared" si="15"/>
        <v>0</v>
      </c>
      <c r="P45" s="246"/>
    </row>
    <row r="46" s="601" customFormat="1" ht="26.25" customHeight="1" spans="1:16">
      <c r="A46" s="230" t="s">
        <v>179</v>
      </c>
      <c r="B46" s="553"/>
      <c r="C46" s="229"/>
      <c r="D46" s="229"/>
      <c r="E46" s="225">
        <f t="shared" si="0"/>
        <v>0</v>
      </c>
      <c r="F46" s="229"/>
      <c r="G46" s="229">
        <f t="shared" si="1"/>
        <v>0</v>
      </c>
      <c r="H46" s="610"/>
      <c r="I46" s="230" t="s">
        <v>180</v>
      </c>
      <c r="J46" s="229"/>
      <c r="K46" s="229"/>
      <c r="L46" s="229"/>
      <c r="M46" s="242">
        <f t="shared" si="14"/>
        <v>0</v>
      </c>
      <c r="N46" s="229"/>
      <c r="O46" s="242">
        <f t="shared" si="15"/>
        <v>0</v>
      </c>
      <c r="P46" s="246"/>
    </row>
    <row r="47" s="601" customFormat="1" ht="26.25" customHeight="1" spans="1:16">
      <c r="A47" s="230" t="s">
        <v>181</v>
      </c>
      <c r="B47" s="553">
        <v>115</v>
      </c>
      <c r="C47" s="229"/>
      <c r="D47" s="229">
        <v>85</v>
      </c>
      <c r="E47" s="225">
        <f t="shared" si="0"/>
        <v>85</v>
      </c>
      <c r="F47" s="229">
        <v>85</v>
      </c>
      <c r="G47" s="229">
        <f t="shared" si="1"/>
        <v>-30</v>
      </c>
      <c r="H47" s="610">
        <f t="shared" si="20"/>
        <v>-26.09</v>
      </c>
      <c r="I47" s="230" t="s">
        <v>182</v>
      </c>
      <c r="J47" s="229"/>
      <c r="K47" s="229"/>
      <c r="L47" s="229"/>
      <c r="M47" s="242">
        <f t="shared" si="14"/>
        <v>0</v>
      </c>
      <c r="N47" s="229"/>
      <c r="O47" s="242">
        <f t="shared" si="15"/>
        <v>0</v>
      </c>
      <c r="P47" s="246"/>
    </row>
    <row r="48" s="601" customFormat="1" ht="26.25" customHeight="1" spans="1:16">
      <c r="A48" s="230" t="s">
        <v>183</v>
      </c>
      <c r="B48" s="553"/>
      <c r="C48" s="229"/>
      <c r="D48" s="229"/>
      <c r="E48" s="225">
        <f t="shared" si="0"/>
        <v>0</v>
      </c>
      <c r="F48" s="229"/>
      <c r="G48" s="229">
        <f t="shared" si="1"/>
        <v>0</v>
      </c>
      <c r="H48" s="610"/>
      <c r="I48" s="230" t="s">
        <v>184</v>
      </c>
      <c r="J48" s="229"/>
      <c r="K48" s="229"/>
      <c r="L48" s="229"/>
      <c r="M48" s="242">
        <f t="shared" si="14"/>
        <v>0</v>
      </c>
      <c r="N48" s="229"/>
      <c r="O48" s="242">
        <f t="shared" si="15"/>
        <v>0</v>
      </c>
      <c r="P48" s="246"/>
    </row>
    <row r="49" s="601" customFormat="1" ht="26.25" customHeight="1" spans="1:16">
      <c r="A49" s="230" t="s">
        <v>185</v>
      </c>
      <c r="B49" s="553">
        <v>2037</v>
      </c>
      <c r="C49" s="229">
        <v>230</v>
      </c>
      <c r="D49" s="229">
        <v>2123</v>
      </c>
      <c r="E49" s="225">
        <f t="shared" si="0"/>
        <v>1960</v>
      </c>
      <c r="F49" s="229">
        <v>2190</v>
      </c>
      <c r="G49" s="229">
        <f t="shared" si="1"/>
        <v>153</v>
      </c>
      <c r="H49" s="610"/>
      <c r="I49" s="230" t="s">
        <v>186</v>
      </c>
      <c r="J49" s="229"/>
      <c r="K49" s="229"/>
      <c r="L49" s="229"/>
      <c r="M49" s="242">
        <f t="shared" si="14"/>
        <v>0</v>
      </c>
      <c r="N49" s="229"/>
      <c r="O49" s="242">
        <f t="shared" si="15"/>
        <v>0</v>
      </c>
      <c r="P49" s="246"/>
    </row>
    <row r="50" s="601" customFormat="1" ht="26.25" customHeight="1" spans="1:16">
      <c r="A50" s="235" t="s">
        <v>187</v>
      </c>
      <c r="B50" s="225">
        <f t="shared" ref="B50:F50" si="21">SUM(B51:B71)</f>
        <v>24869</v>
      </c>
      <c r="C50" s="225">
        <f t="shared" si="21"/>
        <v>1373</v>
      </c>
      <c r="D50" s="225">
        <f t="shared" si="21"/>
        <v>8950</v>
      </c>
      <c r="E50" s="225">
        <f t="shared" si="0"/>
        <v>10868</v>
      </c>
      <c r="F50" s="225">
        <f t="shared" si="21"/>
        <v>12241</v>
      </c>
      <c r="G50" s="225">
        <f t="shared" si="1"/>
        <v>-12628</v>
      </c>
      <c r="H50" s="610">
        <f t="shared" si="20"/>
        <v>-50.78</v>
      </c>
      <c r="I50" s="227" t="s">
        <v>188</v>
      </c>
      <c r="J50" s="225">
        <f t="shared" ref="J50:O50" si="22">SUM(J51:J71)</f>
        <v>0</v>
      </c>
      <c r="K50" s="225">
        <f t="shared" si="22"/>
        <v>0</v>
      </c>
      <c r="L50" s="225">
        <f t="shared" si="22"/>
        <v>0</v>
      </c>
      <c r="M50" s="225">
        <f t="shared" si="22"/>
        <v>0</v>
      </c>
      <c r="N50" s="225">
        <f t="shared" si="22"/>
        <v>0</v>
      </c>
      <c r="O50" s="225">
        <f t="shared" si="22"/>
        <v>0</v>
      </c>
      <c r="P50" s="246"/>
    </row>
    <row r="51" s="601" customFormat="1" ht="26.25" customHeight="1" spans="1:16">
      <c r="A51" s="230" t="s">
        <v>189</v>
      </c>
      <c r="B51" s="553">
        <v>76</v>
      </c>
      <c r="C51" s="229">
        <v>55</v>
      </c>
      <c r="D51" s="229">
        <v>404</v>
      </c>
      <c r="E51" s="225">
        <f t="shared" si="0"/>
        <v>349</v>
      </c>
      <c r="F51" s="229">
        <v>404</v>
      </c>
      <c r="G51" s="229">
        <f t="shared" si="1"/>
        <v>328</v>
      </c>
      <c r="H51" s="610">
        <f t="shared" si="20"/>
        <v>431.58</v>
      </c>
      <c r="I51" s="230" t="s">
        <v>189</v>
      </c>
      <c r="J51" s="229"/>
      <c r="K51" s="229"/>
      <c r="L51" s="229"/>
      <c r="M51" s="242">
        <f t="shared" ref="M51:M71" si="23">N51-K51</f>
        <v>0</v>
      </c>
      <c r="N51" s="229"/>
      <c r="O51" s="242">
        <f t="shared" ref="O51:O71" si="24">N51-J51</f>
        <v>0</v>
      </c>
      <c r="P51" s="246"/>
    </row>
    <row r="52" s="601" customFormat="1" ht="26.25" customHeight="1" spans="1:16">
      <c r="A52" s="230" t="s">
        <v>190</v>
      </c>
      <c r="B52" s="553"/>
      <c r="C52" s="229"/>
      <c r="D52" s="229"/>
      <c r="E52" s="225">
        <f t="shared" si="0"/>
        <v>0</v>
      </c>
      <c r="F52" s="229"/>
      <c r="G52" s="229">
        <f t="shared" si="1"/>
        <v>0</v>
      </c>
      <c r="H52" s="610"/>
      <c r="I52" s="230" t="s">
        <v>190</v>
      </c>
      <c r="J52" s="229"/>
      <c r="K52" s="229"/>
      <c r="L52" s="229"/>
      <c r="M52" s="242">
        <f t="shared" si="23"/>
        <v>0</v>
      </c>
      <c r="N52" s="229"/>
      <c r="O52" s="242">
        <f t="shared" si="24"/>
        <v>0</v>
      </c>
      <c r="P52" s="246"/>
    </row>
    <row r="53" s="601" customFormat="1" ht="26.25" customHeight="1" spans="1:16">
      <c r="A53" s="230" t="s">
        <v>191</v>
      </c>
      <c r="B53" s="553"/>
      <c r="C53" s="229"/>
      <c r="D53" s="229"/>
      <c r="E53" s="225">
        <f t="shared" si="0"/>
        <v>0</v>
      </c>
      <c r="F53" s="229"/>
      <c r="G53" s="229">
        <f t="shared" si="1"/>
        <v>0</v>
      </c>
      <c r="H53" s="610"/>
      <c r="I53" s="230" t="s">
        <v>191</v>
      </c>
      <c r="J53" s="229"/>
      <c r="K53" s="229"/>
      <c r="L53" s="229"/>
      <c r="M53" s="242">
        <f t="shared" si="23"/>
        <v>0</v>
      </c>
      <c r="N53" s="229"/>
      <c r="O53" s="242">
        <f t="shared" si="24"/>
        <v>0</v>
      </c>
      <c r="P53" s="246"/>
    </row>
    <row r="54" s="601" customFormat="1" ht="26.25" customHeight="1" spans="1:16">
      <c r="A54" s="230" t="s">
        <v>192</v>
      </c>
      <c r="B54" s="553"/>
      <c r="C54" s="229"/>
      <c r="D54" s="229"/>
      <c r="E54" s="225">
        <f t="shared" si="0"/>
        <v>0</v>
      </c>
      <c r="F54" s="229"/>
      <c r="G54" s="229">
        <f t="shared" si="1"/>
        <v>0</v>
      </c>
      <c r="H54" s="610"/>
      <c r="I54" s="230" t="s">
        <v>192</v>
      </c>
      <c r="J54" s="229"/>
      <c r="K54" s="229"/>
      <c r="L54" s="229"/>
      <c r="M54" s="242">
        <f t="shared" si="23"/>
        <v>0</v>
      </c>
      <c r="N54" s="229"/>
      <c r="O54" s="242">
        <f t="shared" si="24"/>
        <v>0</v>
      </c>
      <c r="P54" s="246"/>
    </row>
    <row r="55" s="601" customFormat="1" ht="26.25" customHeight="1" spans="1:16">
      <c r="A55" s="230" t="s">
        <v>193</v>
      </c>
      <c r="B55" s="553"/>
      <c r="C55" s="233"/>
      <c r="D55" s="233">
        <v>30</v>
      </c>
      <c r="E55" s="225">
        <f t="shared" si="0"/>
        <v>30</v>
      </c>
      <c r="F55" s="233">
        <v>30</v>
      </c>
      <c r="G55" s="229">
        <f t="shared" si="1"/>
        <v>30</v>
      </c>
      <c r="H55" s="610"/>
      <c r="I55" s="230" t="s">
        <v>193</v>
      </c>
      <c r="J55" s="229"/>
      <c r="K55" s="229"/>
      <c r="L55" s="229"/>
      <c r="M55" s="242">
        <f t="shared" si="23"/>
        <v>0</v>
      </c>
      <c r="N55" s="229"/>
      <c r="O55" s="242">
        <f t="shared" si="24"/>
        <v>0</v>
      </c>
      <c r="P55" s="246"/>
    </row>
    <row r="56" s="601" customFormat="1" ht="26.25" customHeight="1" spans="1:16">
      <c r="A56" s="230" t="s">
        <v>194</v>
      </c>
      <c r="B56" s="553"/>
      <c r="C56" s="233"/>
      <c r="D56" s="233">
        <v>0</v>
      </c>
      <c r="E56" s="225">
        <f t="shared" si="0"/>
        <v>0</v>
      </c>
      <c r="F56" s="233"/>
      <c r="G56" s="229">
        <f t="shared" si="1"/>
        <v>0</v>
      </c>
      <c r="H56" s="610"/>
      <c r="I56" s="230" t="s">
        <v>194</v>
      </c>
      <c r="J56" s="229"/>
      <c r="K56" s="229"/>
      <c r="L56" s="229"/>
      <c r="M56" s="242">
        <f t="shared" si="23"/>
        <v>0</v>
      </c>
      <c r="N56" s="229"/>
      <c r="O56" s="242">
        <f t="shared" si="24"/>
        <v>0</v>
      </c>
      <c r="P56" s="246"/>
    </row>
    <row r="57" s="601" customFormat="1" ht="26.25" customHeight="1" spans="1:16">
      <c r="A57" s="230" t="s">
        <v>195</v>
      </c>
      <c r="B57" s="553">
        <v>1000</v>
      </c>
      <c r="C57" s="41"/>
      <c r="D57" s="41">
        <v>10</v>
      </c>
      <c r="E57" s="225">
        <f t="shared" si="0"/>
        <v>46</v>
      </c>
      <c r="F57" s="41">
        <v>46</v>
      </c>
      <c r="G57" s="229">
        <f t="shared" si="1"/>
        <v>-954</v>
      </c>
      <c r="H57" s="610">
        <f t="shared" ref="H57:H64" si="25">G57/B57*100</f>
        <v>-95.4</v>
      </c>
      <c r="I57" s="230" t="s">
        <v>195</v>
      </c>
      <c r="J57" s="229"/>
      <c r="K57" s="229"/>
      <c r="L57" s="229"/>
      <c r="M57" s="242">
        <f t="shared" si="23"/>
        <v>0</v>
      </c>
      <c r="N57" s="229"/>
      <c r="O57" s="242">
        <f t="shared" si="24"/>
        <v>0</v>
      </c>
      <c r="P57" s="246"/>
    </row>
    <row r="58" s="601" customFormat="1" ht="26.25" customHeight="1" spans="1:16">
      <c r="A58" s="230" t="s">
        <v>196</v>
      </c>
      <c r="B58" s="553">
        <v>68</v>
      </c>
      <c r="C58" s="236">
        <v>28</v>
      </c>
      <c r="D58" s="41">
        <v>93</v>
      </c>
      <c r="E58" s="225">
        <f t="shared" si="0"/>
        <v>65</v>
      </c>
      <c r="F58" s="41">
        <v>93</v>
      </c>
      <c r="G58" s="229">
        <f t="shared" si="1"/>
        <v>25</v>
      </c>
      <c r="H58" s="610">
        <f t="shared" si="25"/>
        <v>36.76</v>
      </c>
      <c r="I58" s="230" t="s">
        <v>196</v>
      </c>
      <c r="J58" s="229"/>
      <c r="K58" s="229"/>
      <c r="L58" s="229"/>
      <c r="M58" s="242">
        <f t="shared" si="23"/>
        <v>0</v>
      </c>
      <c r="N58" s="229"/>
      <c r="O58" s="242">
        <f t="shared" si="24"/>
        <v>0</v>
      </c>
      <c r="P58" s="246"/>
    </row>
    <row r="59" s="601" customFormat="1" ht="26.25" customHeight="1" spans="1:16">
      <c r="A59" s="230" t="s">
        <v>197</v>
      </c>
      <c r="B59" s="553">
        <v>286</v>
      </c>
      <c r="C59" s="236"/>
      <c r="D59" s="41">
        <v>268</v>
      </c>
      <c r="E59" s="225">
        <f t="shared" si="0"/>
        <v>268</v>
      </c>
      <c r="F59" s="41">
        <v>268</v>
      </c>
      <c r="G59" s="229">
        <f t="shared" si="1"/>
        <v>-18</v>
      </c>
      <c r="H59" s="610">
        <f t="shared" si="25"/>
        <v>-6.29</v>
      </c>
      <c r="I59" s="230" t="s">
        <v>197</v>
      </c>
      <c r="J59" s="229"/>
      <c r="K59" s="229"/>
      <c r="L59" s="229"/>
      <c r="M59" s="242">
        <f t="shared" si="23"/>
        <v>0</v>
      </c>
      <c r="N59" s="229"/>
      <c r="O59" s="242">
        <f t="shared" si="24"/>
        <v>0</v>
      </c>
      <c r="P59" s="246"/>
    </row>
    <row r="60" s="601" customFormat="1" ht="26.25" customHeight="1" spans="1:16">
      <c r="A60" s="230" t="s">
        <v>198</v>
      </c>
      <c r="B60" s="553">
        <v>610</v>
      </c>
      <c r="C60" s="236">
        <v>20</v>
      </c>
      <c r="D60" s="41">
        <v>81</v>
      </c>
      <c r="E60" s="225">
        <f t="shared" si="0"/>
        <v>173</v>
      </c>
      <c r="F60" s="41">
        <v>193</v>
      </c>
      <c r="G60" s="229">
        <f t="shared" si="1"/>
        <v>-417</v>
      </c>
      <c r="H60" s="610">
        <f t="shared" si="25"/>
        <v>-68.36</v>
      </c>
      <c r="I60" s="230" t="s">
        <v>198</v>
      </c>
      <c r="J60" s="229"/>
      <c r="K60" s="229"/>
      <c r="L60" s="229"/>
      <c r="M60" s="242">
        <f t="shared" si="23"/>
        <v>0</v>
      </c>
      <c r="N60" s="229"/>
      <c r="O60" s="242">
        <f t="shared" si="24"/>
        <v>0</v>
      </c>
      <c r="P60" s="246"/>
    </row>
    <row r="61" s="601" customFormat="1" ht="26.25" customHeight="1" spans="1:16">
      <c r="A61" s="230" t="s">
        <v>199</v>
      </c>
      <c r="B61" s="553">
        <v>187</v>
      </c>
      <c r="C61" s="236"/>
      <c r="D61" s="41">
        <v>238</v>
      </c>
      <c r="E61" s="225">
        <f t="shared" si="0"/>
        <v>292</v>
      </c>
      <c r="F61" s="41">
        <v>292</v>
      </c>
      <c r="G61" s="229">
        <f t="shared" si="1"/>
        <v>105</v>
      </c>
      <c r="H61" s="610">
        <f t="shared" si="25"/>
        <v>56.15</v>
      </c>
      <c r="I61" s="230" t="s">
        <v>199</v>
      </c>
      <c r="J61" s="229"/>
      <c r="K61" s="229"/>
      <c r="L61" s="229"/>
      <c r="M61" s="242">
        <f t="shared" si="23"/>
        <v>0</v>
      </c>
      <c r="N61" s="229"/>
      <c r="O61" s="242">
        <f t="shared" si="24"/>
        <v>0</v>
      </c>
      <c r="P61" s="246"/>
    </row>
    <row r="62" s="601" customFormat="1" ht="26.25" customHeight="1" spans="1:16">
      <c r="A62" s="230" t="s">
        <v>200</v>
      </c>
      <c r="B62" s="553">
        <v>18977</v>
      </c>
      <c r="C62" s="236">
        <v>1120</v>
      </c>
      <c r="D62" s="41">
        <v>6408</v>
      </c>
      <c r="E62" s="225">
        <f t="shared" si="0"/>
        <v>6288</v>
      </c>
      <c r="F62" s="41">
        <v>7408</v>
      </c>
      <c r="G62" s="229">
        <f t="shared" si="1"/>
        <v>-11569</v>
      </c>
      <c r="H62" s="610">
        <f t="shared" si="25"/>
        <v>-60.96</v>
      </c>
      <c r="I62" s="230" t="s">
        <v>200</v>
      </c>
      <c r="J62" s="229"/>
      <c r="K62" s="229"/>
      <c r="L62" s="229"/>
      <c r="M62" s="242">
        <f t="shared" si="23"/>
        <v>0</v>
      </c>
      <c r="N62" s="229"/>
      <c r="O62" s="242">
        <f t="shared" si="24"/>
        <v>0</v>
      </c>
      <c r="P62" s="246"/>
    </row>
    <row r="63" s="601" customFormat="1" ht="26.25" customHeight="1" spans="1:16">
      <c r="A63" s="230" t="s">
        <v>201</v>
      </c>
      <c r="B63" s="553">
        <v>432</v>
      </c>
      <c r="C63" s="233">
        <v>85</v>
      </c>
      <c r="D63" s="233">
        <v>288</v>
      </c>
      <c r="E63" s="225">
        <f t="shared" si="0"/>
        <v>807</v>
      </c>
      <c r="F63" s="233">
        <v>892</v>
      </c>
      <c r="G63" s="229">
        <f t="shared" si="1"/>
        <v>460</v>
      </c>
      <c r="H63" s="610">
        <f t="shared" si="25"/>
        <v>106.48</v>
      </c>
      <c r="I63" s="230" t="s">
        <v>201</v>
      </c>
      <c r="J63" s="229"/>
      <c r="K63" s="229"/>
      <c r="L63" s="229"/>
      <c r="M63" s="242">
        <f t="shared" si="23"/>
        <v>0</v>
      </c>
      <c r="N63" s="229"/>
      <c r="O63" s="242">
        <f t="shared" si="24"/>
        <v>0</v>
      </c>
      <c r="P63" s="246"/>
    </row>
    <row r="64" s="601" customFormat="1" ht="26.25" customHeight="1" spans="1:16">
      <c r="A64" s="230" t="s">
        <v>202</v>
      </c>
      <c r="B64" s="553">
        <v>332</v>
      </c>
      <c r="C64" s="229"/>
      <c r="D64" s="229">
        <v>189</v>
      </c>
      <c r="E64" s="225">
        <f t="shared" si="0"/>
        <v>189</v>
      </c>
      <c r="F64" s="229">
        <v>189</v>
      </c>
      <c r="G64" s="229">
        <f t="shared" si="1"/>
        <v>-143</v>
      </c>
      <c r="H64" s="610">
        <f t="shared" si="25"/>
        <v>-43.07</v>
      </c>
      <c r="I64" s="230" t="s">
        <v>202</v>
      </c>
      <c r="J64" s="229"/>
      <c r="K64" s="229"/>
      <c r="L64" s="229"/>
      <c r="M64" s="242">
        <f t="shared" si="23"/>
        <v>0</v>
      </c>
      <c r="N64" s="229"/>
      <c r="O64" s="242">
        <f t="shared" si="24"/>
        <v>0</v>
      </c>
      <c r="P64" s="246"/>
    </row>
    <row r="65" s="601" customFormat="1" ht="26.25" customHeight="1" spans="1:16">
      <c r="A65" s="230" t="s">
        <v>203</v>
      </c>
      <c r="B65" s="553"/>
      <c r="C65" s="229"/>
      <c r="D65" s="229"/>
      <c r="E65" s="225">
        <f t="shared" si="0"/>
        <v>125</v>
      </c>
      <c r="F65" s="229">
        <v>125</v>
      </c>
      <c r="G65" s="229">
        <f t="shared" si="1"/>
        <v>125</v>
      </c>
      <c r="H65" s="610"/>
      <c r="I65" s="230" t="s">
        <v>203</v>
      </c>
      <c r="J65" s="229"/>
      <c r="K65" s="229"/>
      <c r="L65" s="229"/>
      <c r="M65" s="242">
        <f t="shared" si="23"/>
        <v>0</v>
      </c>
      <c r="N65" s="229"/>
      <c r="O65" s="242">
        <f t="shared" si="24"/>
        <v>0</v>
      </c>
      <c r="P65" s="246"/>
    </row>
    <row r="66" s="601" customFormat="1" ht="26.25" customHeight="1" spans="1:16">
      <c r="A66" s="230" t="s">
        <v>204</v>
      </c>
      <c r="B66" s="553">
        <v>543</v>
      </c>
      <c r="C66" s="229"/>
      <c r="D66" s="229">
        <v>296</v>
      </c>
      <c r="E66" s="225">
        <f t="shared" si="0"/>
        <v>296</v>
      </c>
      <c r="F66" s="229">
        <v>296</v>
      </c>
      <c r="G66" s="229">
        <f t="shared" si="1"/>
        <v>-247</v>
      </c>
      <c r="H66" s="610">
        <f t="shared" ref="H66:H68" si="26">G66/B66*100</f>
        <v>-45.49</v>
      </c>
      <c r="I66" s="230" t="s">
        <v>204</v>
      </c>
      <c r="J66" s="229"/>
      <c r="K66" s="229"/>
      <c r="L66" s="229"/>
      <c r="M66" s="242">
        <f t="shared" si="23"/>
        <v>0</v>
      </c>
      <c r="N66" s="229"/>
      <c r="O66" s="242">
        <f t="shared" si="24"/>
        <v>0</v>
      </c>
      <c r="P66" s="246"/>
    </row>
    <row r="67" s="601" customFormat="1" ht="26.25" customHeight="1" spans="1:16">
      <c r="A67" s="230" t="s">
        <v>205</v>
      </c>
      <c r="B67" s="553">
        <v>56</v>
      </c>
      <c r="C67" s="229">
        <v>5</v>
      </c>
      <c r="D67" s="229">
        <v>200</v>
      </c>
      <c r="E67" s="225">
        <f t="shared" si="0"/>
        <v>200</v>
      </c>
      <c r="F67" s="229">
        <v>205</v>
      </c>
      <c r="G67" s="229">
        <f t="shared" si="1"/>
        <v>149</v>
      </c>
      <c r="H67" s="610">
        <f t="shared" si="26"/>
        <v>266.07</v>
      </c>
      <c r="I67" s="230" t="s">
        <v>205</v>
      </c>
      <c r="J67" s="229"/>
      <c r="K67" s="229"/>
      <c r="L67" s="229"/>
      <c r="M67" s="242">
        <f t="shared" si="23"/>
        <v>0</v>
      </c>
      <c r="N67" s="229"/>
      <c r="O67" s="242">
        <f t="shared" si="24"/>
        <v>0</v>
      </c>
      <c r="P67" s="246"/>
    </row>
    <row r="68" s="601" customFormat="1" ht="26.25" customHeight="1" spans="1:16">
      <c r="A68" s="230" t="s">
        <v>206</v>
      </c>
      <c r="B68" s="553">
        <v>318</v>
      </c>
      <c r="C68" s="229"/>
      <c r="D68" s="229">
        <v>360</v>
      </c>
      <c r="E68" s="225">
        <f t="shared" si="0"/>
        <v>360</v>
      </c>
      <c r="F68" s="229">
        <v>360</v>
      </c>
      <c r="G68" s="229">
        <f t="shared" si="1"/>
        <v>42</v>
      </c>
      <c r="H68" s="610">
        <f t="shared" si="26"/>
        <v>13.21</v>
      </c>
      <c r="I68" s="230" t="s">
        <v>206</v>
      </c>
      <c r="J68" s="229"/>
      <c r="K68" s="229"/>
      <c r="L68" s="229"/>
      <c r="M68" s="242">
        <f t="shared" si="23"/>
        <v>0</v>
      </c>
      <c r="N68" s="229"/>
      <c r="O68" s="242">
        <f t="shared" si="24"/>
        <v>0</v>
      </c>
      <c r="P68" s="246"/>
    </row>
    <row r="69" s="601" customFormat="1" ht="26.25" customHeight="1" spans="1:16">
      <c r="A69" s="230" t="s">
        <v>207</v>
      </c>
      <c r="B69" s="553">
        <v>30</v>
      </c>
      <c r="C69" s="229"/>
      <c r="D69" s="229">
        <v>0</v>
      </c>
      <c r="E69" s="225">
        <f t="shared" si="0"/>
        <v>0</v>
      </c>
      <c r="F69" s="229"/>
      <c r="G69" s="229">
        <f t="shared" si="1"/>
        <v>-30</v>
      </c>
      <c r="H69" s="610"/>
      <c r="I69" s="230" t="s">
        <v>207</v>
      </c>
      <c r="J69" s="229"/>
      <c r="K69" s="229"/>
      <c r="L69" s="229"/>
      <c r="M69" s="242">
        <f t="shared" si="23"/>
        <v>0</v>
      </c>
      <c r="N69" s="229"/>
      <c r="O69" s="242">
        <f t="shared" si="24"/>
        <v>0</v>
      </c>
      <c r="P69" s="246"/>
    </row>
    <row r="70" s="601" customFormat="1" ht="26.25" customHeight="1" spans="1:16">
      <c r="A70" s="247" t="s">
        <v>208</v>
      </c>
      <c r="B70" s="553">
        <v>1954</v>
      </c>
      <c r="C70" s="229">
        <v>60</v>
      </c>
      <c r="D70" s="229">
        <v>85</v>
      </c>
      <c r="E70" s="225">
        <f t="shared" ref="E70:E76" si="27">F70-C70</f>
        <v>1380</v>
      </c>
      <c r="F70" s="229">
        <v>1440</v>
      </c>
      <c r="G70" s="229">
        <f t="shared" ref="G70:G78" si="28">F70-B70</f>
        <v>-514</v>
      </c>
      <c r="H70" s="610">
        <f>G70/B70*100</f>
        <v>-26.31</v>
      </c>
      <c r="I70" s="652" t="s">
        <v>208</v>
      </c>
      <c r="J70" s="229"/>
      <c r="K70" s="229"/>
      <c r="L70" s="229"/>
      <c r="M70" s="242">
        <f t="shared" si="23"/>
        <v>0</v>
      </c>
      <c r="N70" s="229"/>
      <c r="O70" s="242">
        <f t="shared" si="24"/>
        <v>0</v>
      </c>
      <c r="P70" s="246"/>
    </row>
    <row r="71" s="601" customFormat="1" ht="26.25" customHeight="1" spans="1:16">
      <c r="A71" s="230" t="s">
        <v>209</v>
      </c>
      <c r="B71" s="553"/>
      <c r="C71" s="229"/>
      <c r="D71" s="229"/>
      <c r="E71" s="225">
        <f t="shared" si="27"/>
        <v>0</v>
      </c>
      <c r="F71" s="229"/>
      <c r="G71" s="229">
        <f t="shared" si="28"/>
        <v>0</v>
      </c>
      <c r="H71" s="610"/>
      <c r="I71" s="230" t="s">
        <v>210</v>
      </c>
      <c r="J71" s="229"/>
      <c r="K71" s="229"/>
      <c r="L71" s="229"/>
      <c r="M71" s="242">
        <f t="shared" si="23"/>
        <v>0</v>
      </c>
      <c r="N71" s="229"/>
      <c r="O71" s="242">
        <f t="shared" si="24"/>
        <v>0</v>
      </c>
      <c r="P71" s="246"/>
    </row>
    <row r="72" s="601" customFormat="1" ht="26.25" customHeight="1" spans="1:16">
      <c r="A72" s="653" t="s">
        <v>211</v>
      </c>
      <c r="B72" s="225">
        <f t="shared" ref="B72:F72" si="29">SUM(B73:B74)</f>
        <v>0</v>
      </c>
      <c r="C72" s="225">
        <f t="shared" si="29"/>
        <v>0</v>
      </c>
      <c r="D72" s="225">
        <f t="shared" si="29"/>
        <v>0</v>
      </c>
      <c r="E72" s="225">
        <f t="shared" si="27"/>
        <v>0</v>
      </c>
      <c r="F72" s="225">
        <f t="shared" si="29"/>
        <v>0</v>
      </c>
      <c r="G72" s="225">
        <f t="shared" si="28"/>
        <v>0</v>
      </c>
      <c r="H72" s="241"/>
      <c r="I72" s="227" t="s">
        <v>212</v>
      </c>
      <c r="J72" s="225">
        <f t="shared" ref="J72:O72" si="30">SUM(J73:J74)</f>
        <v>3970</v>
      </c>
      <c r="K72" s="225">
        <f t="shared" si="30"/>
        <v>4136</v>
      </c>
      <c r="L72" s="225">
        <f t="shared" si="30"/>
        <v>4100</v>
      </c>
      <c r="M72" s="225">
        <f t="shared" si="30"/>
        <v>-23</v>
      </c>
      <c r="N72" s="225">
        <f t="shared" si="30"/>
        <v>4113</v>
      </c>
      <c r="O72" s="225">
        <f t="shared" si="30"/>
        <v>143</v>
      </c>
      <c r="P72" s="246">
        <f t="shared" ref="P72:P83" si="31">O72/J72*100</f>
        <v>3.6</v>
      </c>
    </row>
    <row r="73" s="601" customFormat="1" ht="26.25" customHeight="1" spans="1:16">
      <c r="A73" s="230" t="s">
        <v>213</v>
      </c>
      <c r="B73" s="229"/>
      <c r="C73" s="229"/>
      <c r="D73" s="229"/>
      <c r="E73" s="225">
        <f t="shared" si="27"/>
        <v>0</v>
      </c>
      <c r="F73" s="229"/>
      <c r="G73" s="229">
        <f t="shared" si="28"/>
        <v>0</v>
      </c>
      <c r="H73" s="610"/>
      <c r="I73" s="249" t="s">
        <v>214</v>
      </c>
      <c r="J73" s="553">
        <v>73</v>
      </c>
      <c r="K73" s="229">
        <v>73</v>
      </c>
      <c r="L73" s="229">
        <v>73</v>
      </c>
      <c r="M73" s="242">
        <f t="shared" ref="M73:M80" si="32">N73-K73</f>
        <v>0</v>
      </c>
      <c r="N73" s="229">
        <v>73</v>
      </c>
      <c r="O73" s="242">
        <f t="shared" ref="O73:O80" si="33">N73-J73</f>
        <v>0</v>
      </c>
      <c r="P73" s="246">
        <f t="shared" si="31"/>
        <v>0</v>
      </c>
    </row>
    <row r="74" s="601" customFormat="1" ht="26.25" customHeight="1" spans="1:16">
      <c r="A74" s="230" t="s">
        <v>215</v>
      </c>
      <c r="B74" s="229"/>
      <c r="C74" s="229"/>
      <c r="D74" s="229"/>
      <c r="E74" s="225">
        <f t="shared" si="27"/>
        <v>0</v>
      </c>
      <c r="F74" s="229"/>
      <c r="G74" s="229">
        <f t="shared" si="28"/>
        <v>0</v>
      </c>
      <c r="H74" s="610"/>
      <c r="I74" s="249" t="s">
        <v>216</v>
      </c>
      <c r="J74" s="553">
        <v>3897</v>
      </c>
      <c r="K74" s="229">
        <v>4063</v>
      </c>
      <c r="L74" s="229">
        <v>4027</v>
      </c>
      <c r="M74" s="242">
        <f t="shared" si="32"/>
        <v>-23</v>
      </c>
      <c r="N74" s="229">
        <f>4027+13</f>
        <v>4040</v>
      </c>
      <c r="O74" s="242">
        <f t="shared" si="33"/>
        <v>143</v>
      </c>
      <c r="P74" s="246">
        <f t="shared" si="31"/>
        <v>3.67</v>
      </c>
    </row>
    <row r="75" s="601" customFormat="1" ht="26.25" customHeight="1" spans="1:16">
      <c r="A75" s="226" t="s">
        <v>217</v>
      </c>
      <c r="B75" s="225">
        <f t="shared" ref="B75:F75" si="34">SUM(B76:B77)</f>
        <v>86680</v>
      </c>
      <c r="C75" s="225">
        <f t="shared" si="34"/>
        <v>102871</v>
      </c>
      <c r="D75" s="225">
        <f t="shared" si="34"/>
        <v>67857</v>
      </c>
      <c r="E75" s="225">
        <f t="shared" si="27"/>
        <v>-35014</v>
      </c>
      <c r="F75" s="225">
        <f t="shared" si="34"/>
        <v>67857</v>
      </c>
      <c r="G75" s="225">
        <f t="shared" si="28"/>
        <v>-18823</v>
      </c>
      <c r="H75" s="241">
        <f t="shared" ref="H75:H79" si="35">G75/B75*100</f>
        <v>-21.72</v>
      </c>
      <c r="I75" s="227" t="s">
        <v>218</v>
      </c>
      <c r="J75" s="225">
        <f t="shared" ref="J75:O75" si="36">SUM(J76:J77)</f>
        <v>67857</v>
      </c>
      <c r="K75" s="225">
        <f t="shared" si="36"/>
        <v>0</v>
      </c>
      <c r="L75" s="225">
        <f t="shared" si="36"/>
        <v>0</v>
      </c>
      <c r="M75" s="225">
        <f t="shared" si="36"/>
        <v>28941</v>
      </c>
      <c r="N75" s="225">
        <f t="shared" si="36"/>
        <v>28941</v>
      </c>
      <c r="O75" s="225">
        <f t="shared" si="36"/>
        <v>-38916</v>
      </c>
      <c r="P75" s="246">
        <f t="shared" si="31"/>
        <v>-57.35</v>
      </c>
    </row>
    <row r="76" s="601" customFormat="1" ht="26.25" customHeight="1" spans="1:16">
      <c r="A76" s="228" t="s">
        <v>219</v>
      </c>
      <c r="B76" s="229">
        <v>86680</v>
      </c>
      <c r="C76" s="229">
        <v>102871</v>
      </c>
      <c r="D76" s="229">
        <v>67857</v>
      </c>
      <c r="E76" s="225">
        <f t="shared" si="27"/>
        <v>-35014</v>
      </c>
      <c r="F76" s="229">
        <v>67857</v>
      </c>
      <c r="G76" s="229">
        <f t="shared" si="28"/>
        <v>-18823</v>
      </c>
      <c r="H76" s="610">
        <f t="shared" si="35"/>
        <v>-21.72</v>
      </c>
      <c r="I76" s="249" t="s">
        <v>220</v>
      </c>
      <c r="J76" s="229">
        <v>67857</v>
      </c>
      <c r="K76" s="229"/>
      <c r="L76" s="229"/>
      <c r="M76" s="242">
        <f t="shared" si="32"/>
        <v>28941</v>
      </c>
      <c r="N76" s="229">
        <v>28941</v>
      </c>
      <c r="O76" s="242">
        <f t="shared" si="33"/>
        <v>-38916</v>
      </c>
      <c r="P76" s="246">
        <f t="shared" si="31"/>
        <v>-57.35</v>
      </c>
    </row>
    <row r="77" s="601" customFormat="1" ht="26.25" customHeight="1" spans="1:16">
      <c r="A77" s="228" t="s">
        <v>221</v>
      </c>
      <c r="B77" s="229"/>
      <c r="C77" s="229"/>
      <c r="D77" s="229"/>
      <c r="E77" s="229"/>
      <c r="F77" s="229"/>
      <c r="G77" s="229">
        <f t="shared" si="28"/>
        <v>0</v>
      </c>
      <c r="H77" s="610"/>
      <c r="I77" s="249" t="s">
        <v>221</v>
      </c>
      <c r="J77" s="229"/>
      <c r="K77" s="229"/>
      <c r="L77" s="229"/>
      <c r="M77" s="242">
        <f t="shared" si="32"/>
        <v>0</v>
      </c>
      <c r="N77" s="229"/>
      <c r="O77" s="242">
        <f t="shared" si="33"/>
        <v>0</v>
      </c>
      <c r="P77" s="246" t="e">
        <f t="shared" si="31"/>
        <v>#DIV/0!</v>
      </c>
    </row>
    <row r="78" s="601" customFormat="1" ht="26.25" customHeight="1" spans="1:16">
      <c r="A78" s="653" t="s">
        <v>222</v>
      </c>
      <c r="B78" s="225">
        <f t="shared" ref="B78:F78" si="37">B79</f>
        <v>200</v>
      </c>
      <c r="C78" s="225">
        <f t="shared" si="37"/>
        <v>11463</v>
      </c>
      <c r="D78" s="225">
        <f t="shared" si="37"/>
        <v>200</v>
      </c>
      <c r="E78" s="225">
        <f t="shared" ref="E78:E86" si="38">F78-C78</f>
        <v>-11263</v>
      </c>
      <c r="F78" s="225">
        <f t="shared" si="37"/>
        <v>200</v>
      </c>
      <c r="G78" s="225">
        <f t="shared" si="28"/>
        <v>0</v>
      </c>
      <c r="H78" s="241">
        <f t="shared" si="35"/>
        <v>0</v>
      </c>
      <c r="I78" s="243" t="s">
        <v>223</v>
      </c>
      <c r="J78" s="225">
        <v>1083</v>
      </c>
      <c r="K78" s="225"/>
      <c r="L78" s="225"/>
      <c r="M78" s="242">
        <f t="shared" si="32"/>
        <v>0</v>
      </c>
      <c r="N78" s="225"/>
      <c r="O78" s="242">
        <f t="shared" si="33"/>
        <v>-1083</v>
      </c>
      <c r="P78" s="246">
        <f t="shared" si="31"/>
        <v>-100</v>
      </c>
    </row>
    <row r="79" s="601" customFormat="1" ht="26.25" customHeight="1" spans="1:16">
      <c r="A79" s="653" t="s">
        <v>224</v>
      </c>
      <c r="B79" s="225">
        <f t="shared" ref="B79:G79" si="39">SUM(B80:B82)</f>
        <v>200</v>
      </c>
      <c r="C79" s="225">
        <f t="shared" si="39"/>
        <v>11463</v>
      </c>
      <c r="D79" s="225">
        <f t="shared" si="39"/>
        <v>200</v>
      </c>
      <c r="E79" s="225">
        <f t="shared" si="39"/>
        <v>-11263</v>
      </c>
      <c r="F79" s="225">
        <f t="shared" si="39"/>
        <v>200</v>
      </c>
      <c r="G79" s="225">
        <f t="shared" si="39"/>
        <v>0</v>
      </c>
      <c r="H79" s="241">
        <f t="shared" si="35"/>
        <v>0</v>
      </c>
      <c r="I79" s="248" t="s">
        <v>225</v>
      </c>
      <c r="J79" s="225">
        <v>111</v>
      </c>
      <c r="K79" s="225"/>
      <c r="L79" s="225"/>
      <c r="M79" s="242">
        <f t="shared" si="32"/>
        <v>0</v>
      </c>
      <c r="N79" s="225"/>
      <c r="O79" s="242">
        <f t="shared" si="33"/>
        <v>-111</v>
      </c>
      <c r="P79" s="246">
        <f t="shared" si="31"/>
        <v>-100</v>
      </c>
    </row>
    <row r="80" s="601" customFormat="1" ht="26.25" customHeight="1" spans="1:16">
      <c r="A80" s="230" t="s">
        <v>226</v>
      </c>
      <c r="B80" s="229"/>
      <c r="C80" s="229">
        <v>11463</v>
      </c>
      <c r="D80" s="229"/>
      <c r="E80" s="225">
        <f t="shared" si="38"/>
        <v>-11463</v>
      </c>
      <c r="F80" s="229"/>
      <c r="G80" s="229">
        <f t="shared" ref="G80:G86" si="40">F80-B80</f>
        <v>0</v>
      </c>
      <c r="H80" s="610"/>
      <c r="I80" s="653" t="s">
        <v>227</v>
      </c>
      <c r="J80" s="225">
        <v>36401</v>
      </c>
      <c r="K80" s="225"/>
      <c r="L80" s="225"/>
      <c r="M80" s="242">
        <f t="shared" si="32"/>
        <v>45393</v>
      </c>
      <c r="N80" s="225">
        <f>44424+1083-114</f>
        <v>45393</v>
      </c>
      <c r="O80" s="242">
        <f t="shared" si="33"/>
        <v>8992</v>
      </c>
      <c r="P80" s="246">
        <f t="shared" si="31"/>
        <v>24.7</v>
      </c>
    </row>
    <row r="81" s="601" customFormat="1" ht="26.25" customHeight="1" spans="1:16">
      <c r="A81" s="230" t="s">
        <v>228</v>
      </c>
      <c r="B81" s="229"/>
      <c r="C81" s="229"/>
      <c r="D81" s="229"/>
      <c r="E81" s="225">
        <f t="shared" si="38"/>
        <v>0</v>
      </c>
      <c r="F81" s="229"/>
      <c r="G81" s="229">
        <f t="shared" si="40"/>
        <v>0</v>
      </c>
      <c r="H81" s="610"/>
      <c r="I81" s="243" t="s">
        <v>229</v>
      </c>
      <c r="J81" s="225">
        <f t="shared" ref="J81:O81" si="41">J82</f>
        <v>14843</v>
      </c>
      <c r="K81" s="225">
        <f t="shared" si="41"/>
        <v>800</v>
      </c>
      <c r="L81" s="225">
        <f t="shared" si="41"/>
        <v>5000</v>
      </c>
      <c r="M81" s="225">
        <f t="shared" si="41"/>
        <v>4200</v>
      </c>
      <c r="N81" s="225">
        <f t="shared" si="41"/>
        <v>5000</v>
      </c>
      <c r="O81" s="225">
        <f t="shared" si="41"/>
        <v>-9843</v>
      </c>
      <c r="P81" s="246">
        <f t="shared" si="31"/>
        <v>-66.31</v>
      </c>
    </row>
    <row r="82" s="601" customFormat="1" ht="26.25" customHeight="1" spans="1:16">
      <c r="A82" s="230" t="s">
        <v>230</v>
      </c>
      <c r="B82" s="229">
        <v>200</v>
      </c>
      <c r="C82" s="229"/>
      <c r="D82" s="229">
        <v>200</v>
      </c>
      <c r="E82" s="225">
        <f t="shared" si="38"/>
        <v>200</v>
      </c>
      <c r="F82" s="229">
        <v>200</v>
      </c>
      <c r="G82" s="229">
        <f t="shared" si="40"/>
        <v>0</v>
      </c>
      <c r="H82" s="610">
        <f t="shared" ref="H82:H85" si="42">G82/B82*100</f>
        <v>0</v>
      </c>
      <c r="I82" s="243" t="s">
        <v>231</v>
      </c>
      <c r="J82" s="225">
        <f t="shared" ref="J82:O82" si="43">SUM(J83:J86)</f>
        <v>14843</v>
      </c>
      <c r="K82" s="225">
        <f t="shared" si="43"/>
        <v>800</v>
      </c>
      <c r="L82" s="225">
        <f t="shared" si="43"/>
        <v>5000</v>
      </c>
      <c r="M82" s="225">
        <f t="shared" si="43"/>
        <v>4200</v>
      </c>
      <c r="N82" s="225">
        <f t="shared" si="43"/>
        <v>5000</v>
      </c>
      <c r="O82" s="225">
        <f t="shared" si="43"/>
        <v>-9843</v>
      </c>
      <c r="P82" s="246">
        <f t="shared" si="31"/>
        <v>-66.31</v>
      </c>
    </row>
    <row r="83" s="601" customFormat="1" ht="26.25" customHeight="1" spans="1:16">
      <c r="A83" s="651" t="s">
        <v>232</v>
      </c>
      <c r="B83" s="225">
        <f t="shared" ref="B83:F83" si="44">B84</f>
        <v>15154</v>
      </c>
      <c r="C83" s="225">
        <f t="shared" si="44"/>
        <v>0</v>
      </c>
      <c r="D83" s="225">
        <f t="shared" si="44"/>
        <v>4496</v>
      </c>
      <c r="E83" s="225">
        <f t="shared" si="38"/>
        <v>5893</v>
      </c>
      <c r="F83" s="225">
        <f t="shared" si="44"/>
        <v>5893</v>
      </c>
      <c r="G83" s="225">
        <f t="shared" si="40"/>
        <v>-9261</v>
      </c>
      <c r="H83" s="241">
        <f t="shared" si="42"/>
        <v>-61.11</v>
      </c>
      <c r="I83" s="652" t="s">
        <v>233</v>
      </c>
      <c r="J83" s="232">
        <v>13600</v>
      </c>
      <c r="K83" s="229">
        <v>800</v>
      </c>
      <c r="L83" s="229">
        <v>5000</v>
      </c>
      <c r="M83" s="251">
        <f t="shared" ref="M83:M95" si="45">N83-K83</f>
        <v>4200</v>
      </c>
      <c r="N83" s="229">
        <v>5000</v>
      </c>
      <c r="O83" s="251">
        <f t="shared" ref="O83:O95" si="46">N83-J83</f>
        <v>-8600</v>
      </c>
      <c r="P83" s="614">
        <f t="shared" si="31"/>
        <v>-63.24</v>
      </c>
    </row>
    <row r="84" s="601" customFormat="1" ht="26.25" customHeight="1" spans="1:16">
      <c r="A84" s="651" t="s">
        <v>234</v>
      </c>
      <c r="B84" s="225">
        <f t="shared" ref="B84:F84" si="47">SUM(B85:B88)</f>
        <v>15154</v>
      </c>
      <c r="C84" s="225">
        <f t="shared" si="47"/>
        <v>0</v>
      </c>
      <c r="D84" s="225">
        <f t="shared" si="47"/>
        <v>4496</v>
      </c>
      <c r="E84" s="225">
        <f t="shared" si="38"/>
        <v>5893</v>
      </c>
      <c r="F84" s="225">
        <f t="shared" si="47"/>
        <v>5893</v>
      </c>
      <c r="G84" s="225">
        <f t="shared" si="40"/>
        <v>-9261</v>
      </c>
      <c r="H84" s="241">
        <f t="shared" si="42"/>
        <v>-61.11</v>
      </c>
      <c r="I84" s="249" t="s">
        <v>235</v>
      </c>
      <c r="J84" s="232"/>
      <c r="K84" s="229">
        <f t="shared" ref="K84:N84" si="48">SUM(K85:K88)</f>
        <v>0</v>
      </c>
      <c r="L84" s="229">
        <f t="shared" si="48"/>
        <v>0</v>
      </c>
      <c r="M84" s="251">
        <f t="shared" si="45"/>
        <v>0</v>
      </c>
      <c r="N84" s="229">
        <f t="shared" si="48"/>
        <v>0</v>
      </c>
      <c r="O84" s="251">
        <f t="shared" si="46"/>
        <v>0</v>
      </c>
      <c r="P84" s="614"/>
    </row>
    <row r="85" s="601" customFormat="1" ht="26.25" customHeight="1" spans="1:16">
      <c r="A85" s="249" t="s">
        <v>236</v>
      </c>
      <c r="B85" s="553">
        <v>13170</v>
      </c>
      <c r="C85" s="229"/>
      <c r="D85" s="229">
        <v>4496</v>
      </c>
      <c r="E85" s="225">
        <f t="shared" si="38"/>
        <v>5893</v>
      </c>
      <c r="F85" s="229">
        <v>5893</v>
      </c>
      <c r="G85" s="229">
        <f t="shared" si="40"/>
        <v>-7277</v>
      </c>
      <c r="H85" s="610">
        <f t="shared" si="42"/>
        <v>-55.25</v>
      </c>
      <c r="I85" s="249" t="s">
        <v>237</v>
      </c>
      <c r="J85" s="232">
        <v>342</v>
      </c>
      <c r="K85" s="229"/>
      <c r="L85" s="229"/>
      <c r="M85" s="251">
        <f t="shared" si="45"/>
        <v>0</v>
      </c>
      <c r="N85" s="229"/>
      <c r="O85" s="251">
        <f t="shared" si="46"/>
        <v>-342</v>
      </c>
      <c r="P85" s="614">
        <f>O85/J85*100</f>
        <v>-100</v>
      </c>
    </row>
    <row r="86" s="601" customFormat="1" ht="26.25" customHeight="1" spans="1:16">
      <c r="A86" s="654" t="s">
        <v>238</v>
      </c>
      <c r="B86" s="553"/>
      <c r="C86" s="229"/>
      <c r="D86" s="229"/>
      <c r="E86" s="225">
        <f t="shared" si="38"/>
        <v>0</v>
      </c>
      <c r="F86" s="229"/>
      <c r="G86" s="229">
        <f t="shared" si="40"/>
        <v>0</v>
      </c>
      <c r="H86" s="610"/>
      <c r="I86" s="249" t="s">
        <v>239</v>
      </c>
      <c r="J86" s="232">
        <v>901</v>
      </c>
      <c r="K86" s="229"/>
      <c r="L86" s="229"/>
      <c r="M86" s="251">
        <f t="shared" si="45"/>
        <v>0</v>
      </c>
      <c r="N86" s="229"/>
      <c r="O86" s="251">
        <f t="shared" si="46"/>
        <v>-901</v>
      </c>
      <c r="P86" s="614">
        <f>O86/J86*100</f>
        <v>-100</v>
      </c>
    </row>
    <row r="87" s="601" customFormat="1" ht="26.25" customHeight="1" spans="1:16">
      <c r="A87" s="654" t="s">
        <v>240</v>
      </c>
      <c r="B87" s="553"/>
      <c r="C87" s="229"/>
      <c r="D87" s="229"/>
      <c r="E87" s="225"/>
      <c r="F87" s="229"/>
      <c r="G87" s="229"/>
      <c r="H87" s="610"/>
      <c r="I87" s="249"/>
      <c r="J87" s="229"/>
      <c r="K87" s="229"/>
      <c r="L87" s="229"/>
      <c r="M87" s="251">
        <f t="shared" si="45"/>
        <v>0</v>
      </c>
      <c r="N87" s="229"/>
      <c r="O87" s="251">
        <f t="shared" si="46"/>
        <v>0</v>
      </c>
      <c r="P87" s="614"/>
    </row>
    <row r="88" s="601" customFormat="1" ht="26.25" customHeight="1" spans="1:16">
      <c r="A88" s="654" t="s">
        <v>241</v>
      </c>
      <c r="B88" s="232">
        <v>1984</v>
      </c>
      <c r="C88" s="229"/>
      <c r="D88" s="229"/>
      <c r="E88" s="225">
        <f t="shared" ref="E88:E91" si="49">F88-C88</f>
        <v>0</v>
      </c>
      <c r="F88" s="229"/>
      <c r="G88" s="229">
        <f t="shared" ref="G88:G94" si="50">F88-B88</f>
        <v>-1984</v>
      </c>
      <c r="H88" s="610">
        <f>G88/B88*100</f>
        <v>-100</v>
      </c>
      <c r="I88" s="249"/>
      <c r="J88" s="229"/>
      <c r="K88" s="229"/>
      <c r="L88" s="229"/>
      <c r="M88" s="242">
        <f t="shared" si="45"/>
        <v>0</v>
      </c>
      <c r="N88" s="229"/>
      <c r="O88" s="242">
        <f t="shared" si="46"/>
        <v>0</v>
      </c>
      <c r="P88" s="246"/>
    </row>
    <row r="89" s="600" customFormat="1" ht="26.25" customHeight="1" spans="1:16">
      <c r="A89" s="653" t="s">
        <v>242</v>
      </c>
      <c r="B89" s="225">
        <v>1513</v>
      </c>
      <c r="C89" s="225">
        <v>2151</v>
      </c>
      <c r="D89" s="225">
        <v>36401</v>
      </c>
      <c r="E89" s="225">
        <f t="shared" si="49"/>
        <v>34250</v>
      </c>
      <c r="F89" s="225">
        <v>36401</v>
      </c>
      <c r="G89" s="225">
        <f t="shared" si="50"/>
        <v>34888</v>
      </c>
      <c r="H89" s="241">
        <f>G89/B89*100</f>
        <v>2305.88</v>
      </c>
      <c r="I89" s="248"/>
      <c r="J89" s="225"/>
      <c r="K89" s="225"/>
      <c r="L89" s="225"/>
      <c r="M89" s="242">
        <f t="shared" si="45"/>
        <v>0</v>
      </c>
      <c r="N89" s="225"/>
      <c r="O89" s="242">
        <f t="shared" si="46"/>
        <v>0</v>
      </c>
      <c r="P89" s="246"/>
    </row>
    <row r="90" s="600" customFormat="1" ht="26.25" customHeight="1" spans="1:16">
      <c r="A90" s="226" t="s">
        <v>243</v>
      </c>
      <c r="B90" s="225">
        <f t="shared" ref="B90:F90" si="51">SUM(B91:B94)</f>
        <v>0</v>
      </c>
      <c r="C90" s="225">
        <f t="shared" si="51"/>
        <v>0</v>
      </c>
      <c r="D90" s="225">
        <f t="shared" si="51"/>
        <v>0</v>
      </c>
      <c r="E90" s="225">
        <f t="shared" si="49"/>
        <v>0</v>
      </c>
      <c r="F90" s="225">
        <f t="shared" si="51"/>
        <v>0</v>
      </c>
      <c r="G90" s="225">
        <f t="shared" si="50"/>
        <v>0</v>
      </c>
      <c r="H90" s="241"/>
      <c r="I90" s="227"/>
      <c r="J90" s="225">
        <f t="shared" ref="J90:L90" si="52">SUM(J93:J94)</f>
        <v>0</v>
      </c>
      <c r="K90" s="225">
        <f t="shared" si="52"/>
        <v>0</v>
      </c>
      <c r="L90" s="225">
        <f t="shared" si="52"/>
        <v>0</v>
      </c>
      <c r="M90" s="242">
        <f t="shared" si="45"/>
        <v>0</v>
      </c>
      <c r="N90" s="225">
        <f>SUM(N93:N94)</f>
        <v>0</v>
      </c>
      <c r="O90" s="242">
        <f t="shared" si="46"/>
        <v>0</v>
      </c>
      <c r="P90" s="246"/>
    </row>
    <row r="91" s="600" customFormat="1" ht="26.25" customHeight="1" spans="1:16">
      <c r="A91" s="228" t="s">
        <v>244</v>
      </c>
      <c r="B91" s="229"/>
      <c r="C91" s="229"/>
      <c r="D91" s="229"/>
      <c r="E91" s="225">
        <f t="shared" si="49"/>
        <v>0</v>
      </c>
      <c r="F91" s="229"/>
      <c r="G91" s="229">
        <f t="shared" si="50"/>
        <v>0</v>
      </c>
      <c r="H91" s="610"/>
      <c r="I91" s="249"/>
      <c r="J91" s="229"/>
      <c r="K91" s="229"/>
      <c r="L91" s="229"/>
      <c r="M91" s="242">
        <f t="shared" si="45"/>
        <v>0</v>
      </c>
      <c r="N91" s="229"/>
      <c r="O91" s="242">
        <f t="shared" si="46"/>
        <v>0</v>
      </c>
      <c r="P91" s="246"/>
    </row>
    <row r="92" s="600" customFormat="1" ht="26.25" customHeight="1" spans="1:16">
      <c r="A92" s="228" t="s">
        <v>245</v>
      </c>
      <c r="B92" s="229"/>
      <c r="C92" s="229"/>
      <c r="D92" s="229"/>
      <c r="E92" s="229"/>
      <c r="F92" s="229"/>
      <c r="G92" s="229">
        <f t="shared" si="50"/>
        <v>0</v>
      </c>
      <c r="H92" s="610"/>
      <c r="I92" s="249"/>
      <c r="J92" s="229"/>
      <c r="K92" s="229"/>
      <c r="L92" s="229"/>
      <c r="M92" s="242">
        <f t="shared" si="45"/>
        <v>0</v>
      </c>
      <c r="N92" s="229"/>
      <c r="O92" s="242">
        <f t="shared" si="46"/>
        <v>0</v>
      </c>
      <c r="P92" s="246"/>
    </row>
    <row r="93" s="600" customFormat="1" ht="26.25" customHeight="1" spans="1:16">
      <c r="A93" s="228" t="s">
        <v>246</v>
      </c>
      <c r="B93" s="229"/>
      <c r="C93" s="229"/>
      <c r="D93" s="229"/>
      <c r="E93" s="225">
        <f>F93-C93</f>
        <v>0</v>
      </c>
      <c r="F93" s="229"/>
      <c r="G93" s="229">
        <f t="shared" si="50"/>
        <v>0</v>
      </c>
      <c r="H93" s="610"/>
      <c r="I93" s="249"/>
      <c r="J93" s="229"/>
      <c r="K93" s="229"/>
      <c r="L93" s="229"/>
      <c r="M93" s="242">
        <f t="shared" si="45"/>
        <v>0</v>
      </c>
      <c r="N93" s="229"/>
      <c r="O93" s="242">
        <f t="shared" si="46"/>
        <v>0</v>
      </c>
      <c r="P93" s="246"/>
    </row>
    <row r="94" s="600" customFormat="1" ht="26.25" customHeight="1" spans="1:16">
      <c r="A94" s="228" t="s">
        <v>247</v>
      </c>
      <c r="B94" s="229"/>
      <c r="C94" s="229"/>
      <c r="D94" s="229"/>
      <c r="E94" s="229"/>
      <c r="F94" s="229"/>
      <c r="G94" s="229">
        <f t="shared" si="50"/>
        <v>0</v>
      </c>
      <c r="H94" s="610"/>
      <c r="I94" s="249"/>
      <c r="J94" s="229"/>
      <c r="K94" s="229"/>
      <c r="L94" s="229"/>
      <c r="M94" s="242">
        <f t="shared" si="45"/>
        <v>0</v>
      </c>
      <c r="N94" s="229"/>
      <c r="O94" s="242">
        <f t="shared" si="46"/>
        <v>0</v>
      </c>
      <c r="P94" s="246"/>
    </row>
    <row r="95" s="600" customFormat="1" ht="26.25" customHeight="1" spans="1:16">
      <c r="A95" s="613" t="s">
        <v>248</v>
      </c>
      <c r="B95" s="225">
        <f t="shared" ref="B95:G95" si="53">SUM(B5+B6)</f>
        <v>451612</v>
      </c>
      <c r="C95" s="225">
        <f t="shared" si="53"/>
        <v>370616</v>
      </c>
      <c r="D95" s="225">
        <f t="shared" si="53"/>
        <v>404435</v>
      </c>
      <c r="E95" s="225">
        <f t="shared" si="53"/>
        <v>50184</v>
      </c>
      <c r="F95" s="225">
        <f t="shared" si="53"/>
        <v>420800</v>
      </c>
      <c r="G95" s="225">
        <f t="shared" si="53"/>
        <v>-30812</v>
      </c>
      <c r="H95" s="241">
        <f>G95/B95*100</f>
        <v>-6.82</v>
      </c>
      <c r="I95" s="250" t="s">
        <v>249</v>
      </c>
      <c r="J95" s="242">
        <f t="shared" ref="J95:L95" si="54">J5+J6+J81</f>
        <v>451612</v>
      </c>
      <c r="K95" s="242">
        <f t="shared" si="54"/>
        <v>370616</v>
      </c>
      <c r="L95" s="242">
        <f t="shared" si="54"/>
        <v>404435</v>
      </c>
      <c r="M95" s="242">
        <f t="shared" si="45"/>
        <v>50184</v>
      </c>
      <c r="N95" s="242">
        <f>N5+N6+N81</f>
        <v>420800</v>
      </c>
      <c r="O95" s="242">
        <f t="shared" si="46"/>
        <v>-30812</v>
      </c>
      <c r="P95" s="246">
        <f>O95/J95*100</f>
        <v>-6.82</v>
      </c>
    </row>
    <row r="97" s="600" customFormat="1" spans="14:14">
      <c r="N97" s="600">
        <f>F95-N95</f>
        <v>0</v>
      </c>
    </row>
  </sheetData>
  <mergeCells count="4">
    <mergeCell ref="A1:O1"/>
    <mergeCell ref="K2:N2"/>
    <mergeCell ref="A3:C3"/>
    <mergeCell ref="I3:K3"/>
  </mergeCells>
  <pageMargins left="0.708661417322835" right="0.708661417322835" top="0.551181102362205" bottom="0.551181102362205" header="0.31496062992126" footer="0.31496062992126"/>
  <pageSetup paperSize="9" scale="73" fitToHeight="12" orientation="landscape" blackAndWhite="1"/>
  <headerFooter/>
  <rowBreaks count="1" manualBreakCount="1">
    <brk id="47" max="255"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1"/>
  <sheetViews>
    <sheetView zoomScaleSheetLayoutView="60" workbookViewId="0">
      <selection activeCell="G5" sqref="G5"/>
    </sheetView>
  </sheetViews>
  <sheetFormatPr defaultColWidth="9" defaultRowHeight="15.75"/>
  <cols>
    <col min="1" max="1" width="34.125" style="54" customWidth="1"/>
    <col min="2" max="2" width="11.625" style="56" customWidth="1"/>
    <col min="3" max="3" width="35.25" style="56" customWidth="1"/>
    <col min="4" max="4" width="10.875" style="56" customWidth="1"/>
    <col min="5" max="5" width="13.125" style="54" customWidth="1"/>
    <col min="6" max="6" width="9" style="54" customWidth="1"/>
    <col min="7" max="7" width="12.5" style="54" customWidth="1"/>
    <col min="8" max="9" width="9" style="54" customWidth="1"/>
    <col min="10" max="247" width="9" style="54"/>
    <col min="248" max="16384" width="9" style="57"/>
  </cols>
  <sheetData>
    <row r="1" s="54" customFormat="1" ht="24" customHeight="1" spans="1:256">
      <c r="A1" s="703" t="s">
        <v>4983</v>
      </c>
      <c r="B1" s="58"/>
      <c r="C1" s="58"/>
      <c r="D1" s="58"/>
      <c r="E1" s="58"/>
      <c r="IN1" s="57"/>
      <c r="IO1" s="57"/>
      <c r="IP1" s="57"/>
      <c r="IQ1" s="57"/>
      <c r="IR1" s="57"/>
      <c r="IS1" s="57"/>
      <c r="IT1" s="57"/>
      <c r="IU1" s="57"/>
      <c r="IV1" s="57"/>
    </row>
    <row r="2" s="54" customFormat="1" ht="15.95" customHeight="1" spans="1:256">
      <c r="A2" s="59"/>
      <c r="B2" s="60"/>
      <c r="D2" s="101" t="s">
        <v>4984</v>
      </c>
      <c r="IN2" s="57"/>
      <c r="IO2" s="57"/>
      <c r="IP2" s="57"/>
      <c r="IQ2" s="57"/>
      <c r="IR2" s="57"/>
      <c r="IS2" s="57"/>
      <c r="IT2" s="57"/>
      <c r="IU2" s="57"/>
      <c r="IV2" s="57"/>
    </row>
    <row r="3" s="55" customFormat="1" ht="33.75" customHeight="1" spans="1:5">
      <c r="A3" s="62" t="s">
        <v>4985</v>
      </c>
      <c r="B3" s="63"/>
      <c r="C3" s="64" t="s">
        <v>4986</v>
      </c>
      <c r="D3" s="65"/>
      <c r="E3" s="86" t="s">
        <v>4987</v>
      </c>
    </row>
    <row r="4" s="55" customFormat="1" ht="33.75" customHeight="1" spans="1:5">
      <c r="A4" s="94" t="s">
        <v>1419</v>
      </c>
      <c r="B4" s="68" t="s">
        <v>1420</v>
      </c>
      <c r="C4" s="68" t="s">
        <v>1419</v>
      </c>
      <c r="D4" s="68" t="s">
        <v>1420</v>
      </c>
      <c r="E4" s="87"/>
    </row>
    <row r="5" s="100" customFormat="1" ht="33.75" customHeight="1" spans="1:256">
      <c r="A5" s="704" t="s">
        <v>1343</v>
      </c>
      <c r="B5" s="72">
        <f>SUM(B6:B11)</f>
        <v>33314</v>
      </c>
      <c r="C5" s="672" t="s">
        <v>1344</v>
      </c>
      <c r="D5" s="72">
        <f>SUM(D6:D10)</f>
        <v>28017</v>
      </c>
      <c r="E5" s="88"/>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c r="EH5" s="102"/>
      <c r="EI5" s="102"/>
      <c r="EJ5" s="102"/>
      <c r="EK5" s="102"/>
      <c r="EL5" s="102"/>
      <c r="EM5" s="102"/>
      <c r="EN5" s="102"/>
      <c r="EO5" s="102"/>
      <c r="EP5" s="102"/>
      <c r="EQ5" s="102"/>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2"/>
      <c r="FZ5" s="102"/>
      <c r="GA5" s="102"/>
      <c r="GB5" s="102"/>
      <c r="GC5" s="102"/>
      <c r="GD5" s="102"/>
      <c r="GE5" s="102"/>
      <c r="GF5" s="102"/>
      <c r="GG5" s="102"/>
      <c r="GH5" s="102"/>
      <c r="GI5" s="102"/>
      <c r="GJ5" s="102"/>
      <c r="GK5" s="102"/>
      <c r="GL5" s="102"/>
      <c r="GM5" s="102"/>
      <c r="GN5" s="102"/>
      <c r="GO5" s="102"/>
      <c r="GP5" s="102"/>
      <c r="GQ5" s="102"/>
      <c r="GR5" s="102"/>
      <c r="GS5" s="102"/>
      <c r="GT5" s="102"/>
      <c r="GU5" s="102"/>
      <c r="GV5" s="102"/>
      <c r="GW5" s="102"/>
      <c r="GX5" s="102"/>
      <c r="GY5" s="102"/>
      <c r="GZ5" s="102"/>
      <c r="HA5" s="102"/>
      <c r="HB5" s="102"/>
      <c r="HC5" s="102"/>
      <c r="HD5" s="102"/>
      <c r="HE5" s="102"/>
      <c r="HF5" s="102"/>
      <c r="HG5" s="102"/>
      <c r="HH5" s="102"/>
      <c r="HI5" s="102"/>
      <c r="HJ5" s="102"/>
      <c r="HK5" s="102"/>
      <c r="HL5" s="102"/>
      <c r="HM5" s="102"/>
      <c r="HN5" s="102"/>
      <c r="HO5" s="102"/>
      <c r="HP5" s="102"/>
      <c r="HQ5" s="102"/>
      <c r="HR5" s="102"/>
      <c r="HS5" s="102"/>
      <c r="HT5" s="102"/>
      <c r="HU5" s="102"/>
      <c r="HV5" s="102"/>
      <c r="HW5" s="102"/>
      <c r="HX5" s="102"/>
      <c r="HY5" s="102"/>
      <c r="HZ5" s="102"/>
      <c r="IA5" s="102"/>
      <c r="IB5" s="102"/>
      <c r="IC5" s="102"/>
      <c r="ID5" s="102"/>
      <c r="IE5" s="102"/>
      <c r="IF5" s="102"/>
      <c r="IG5" s="102"/>
      <c r="IH5" s="102"/>
      <c r="II5" s="102"/>
      <c r="IJ5" s="102"/>
      <c r="IK5" s="102"/>
      <c r="IL5" s="102"/>
      <c r="IM5" s="102"/>
      <c r="IN5" s="104"/>
      <c r="IO5" s="104"/>
      <c r="IP5" s="104"/>
      <c r="IQ5" s="104"/>
      <c r="IR5" s="104"/>
      <c r="IS5" s="104"/>
      <c r="IT5" s="104"/>
      <c r="IU5" s="104"/>
      <c r="IV5" s="104"/>
    </row>
    <row r="6" s="55" customFormat="1" ht="33.75" customHeight="1" spans="1:5">
      <c r="A6" s="96" t="s">
        <v>1345</v>
      </c>
      <c r="B6" s="97">
        <v>18285</v>
      </c>
      <c r="C6" s="75" t="s">
        <v>1346</v>
      </c>
      <c r="D6" s="76">
        <v>27877</v>
      </c>
      <c r="E6" s="89"/>
    </row>
    <row r="7" s="55" customFormat="1" ht="33.75" customHeight="1" spans="1:5">
      <c r="A7" s="647" t="s">
        <v>1347</v>
      </c>
      <c r="B7" s="76">
        <v>10334</v>
      </c>
      <c r="C7" s="75" t="s">
        <v>1348</v>
      </c>
      <c r="D7" s="76"/>
      <c r="E7" s="89"/>
    </row>
    <row r="8" s="55" customFormat="1" ht="33.75" customHeight="1" spans="1:5">
      <c r="A8" s="96" t="s">
        <v>1349</v>
      </c>
      <c r="B8" s="76">
        <v>26</v>
      </c>
      <c r="C8" s="75" t="s">
        <v>1350</v>
      </c>
      <c r="D8" s="76">
        <v>75</v>
      </c>
      <c r="E8" s="89"/>
    </row>
    <row r="9" s="55" customFormat="1" ht="33.75" customHeight="1" spans="1:5">
      <c r="A9" s="96" t="s">
        <v>1351</v>
      </c>
      <c r="B9" s="79">
        <v>475</v>
      </c>
      <c r="C9" s="75" t="s">
        <v>1352</v>
      </c>
      <c r="D9" s="79">
        <v>65</v>
      </c>
      <c r="E9" s="89"/>
    </row>
    <row r="10" s="55" customFormat="1" ht="33.75" customHeight="1" spans="1:5">
      <c r="A10" s="96" t="s">
        <v>1353</v>
      </c>
      <c r="B10" s="76">
        <v>3</v>
      </c>
      <c r="C10" s="75"/>
      <c r="D10" s="72"/>
      <c r="E10" s="89"/>
    </row>
    <row r="11" s="55" customFormat="1" ht="33.75" customHeight="1" spans="1:5">
      <c r="A11" s="98" t="s">
        <v>4988</v>
      </c>
      <c r="B11" s="72">
        <v>4191</v>
      </c>
      <c r="C11" s="80" t="s">
        <v>4989</v>
      </c>
      <c r="D11" s="72">
        <f>B5-D5</f>
        <v>5297</v>
      </c>
      <c r="E11" s="88"/>
    </row>
    <row r="12" s="100" customFormat="1" ht="33.75" customHeight="1" spans="1:256">
      <c r="A12" s="705" t="s">
        <v>1356</v>
      </c>
      <c r="B12" s="72">
        <f>SUM(B13:B20)</f>
        <v>56005</v>
      </c>
      <c r="C12" s="674" t="s">
        <v>1357</v>
      </c>
      <c r="D12" s="72">
        <f>SUM(D13:D19)</f>
        <v>15602</v>
      </c>
      <c r="E12" s="88"/>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4"/>
      <c r="IO12" s="104"/>
      <c r="IP12" s="104"/>
      <c r="IQ12" s="104"/>
      <c r="IR12" s="104"/>
      <c r="IS12" s="104"/>
      <c r="IT12" s="104"/>
      <c r="IU12" s="104"/>
      <c r="IV12" s="104"/>
    </row>
    <row r="13" s="55" customFormat="1" ht="33.75" customHeight="1" spans="1:5">
      <c r="A13" s="96" t="s">
        <v>1358</v>
      </c>
      <c r="B13" s="76">
        <v>3998</v>
      </c>
      <c r="C13" s="75" t="s">
        <v>1359</v>
      </c>
      <c r="D13" s="76">
        <v>14581</v>
      </c>
      <c r="E13" s="89"/>
    </row>
    <row r="14" s="55" customFormat="1" ht="33.75" customHeight="1" spans="1:5">
      <c r="A14" s="96" t="s">
        <v>1360</v>
      </c>
      <c r="B14" s="76">
        <v>14960</v>
      </c>
      <c r="C14" s="75" t="s">
        <v>1361</v>
      </c>
      <c r="D14" s="76">
        <v>886</v>
      </c>
      <c r="E14" s="89"/>
    </row>
    <row r="15" s="55" customFormat="1" ht="33.75" customHeight="1" spans="1:5">
      <c r="A15" s="96" t="s">
        <v>4990</v>
      </c>
      <c r="B15" s="76">
        <v>54</v>
      </c>
      <c r="C15" s="75" t="s">
        <v>1362</v>
      </c>
      <c r="D15" s="76">
        <v>129</v>
      </c>
      <c r="E15" s="89"/>
    </row>
    <row r="16" s="55" customFormat="1" ht="33.75" customHeight="1" spans="1:5">
      <c r="A16" s="96" t="s">
        <v>1349</v>
      </c>
      <c r="B16" s="76">
        <v>100</v>
      </c>
      <c r="C16" s="75" t="s">
        <v>1350</v>
      </c>
      <c r="D16" s="76">
        <v>2</v>
      </c>
      <c r="E16" s="89"/>
    </row>
    <row r="17" s="55" customFormat="1" ht="33.75" customHeight="1" spans="1:5">
      <c r="A17" s="96" t="s">
        <v>1363</v>
      </c>
      <c r="B17" s="76">
        <v>538</v>
      </c>
      <c r="C17" s="75" t="s">
        <v>1352</v>
      </c>
      <c r="D17" s="76">
        <v>4</v>
      </c>
      <c r="E17" s="89"/>
    </row>
    <row r="18" s="55" customFormat="1" ht="33.75" customHeight="1" spans="1:5">
      <c r="A18" s="96" t="s">
        <v>1351</v>
      </c>
      <c r="B18" s="76">
        <v>16</v>
      </c>
      <c r="C18" s="75"/>
      <c r="D18" s="76"/>
      <c r="E18" s="89"/>
    </row>
    <row r="19" s="55" customFormat="1" ht="33.75" customHeight="1" spans="1:5">
      <c r="A19" s="96" t="s">
        <v>1353</v>
      </c>
      <c r="B19" s="76">
        <v>6</v>
      </c>
      <c r="C19" s="75"/>
      <c r="D19" s="76"/>
      <c r="E19" s="89"/>
    </row>
    <row r="20" s="55" customFormat="1" ht="33.75" customHeight="1" spans="1:5">
      <c r="A20" s="98" t="s">
        <v>4991</v>
      </c>
      <c r="B20" s="72">
        <v>36333</v>
      </c>
      <c r="C20" s="80" t="s">
        <v>4989</v>
      </c>
      <c r="D20" s="72">
        <f>B12-D12</f>
        <v>40403</v>
      </c>
      <c r="E20" s="89"/>
    </row>
    <row r="21" ht="16.5" spans="1:5">
      <c r="A21" s="99" t="s">
        <v>1366</v>
      </c>
      <c r="B21" s="84">
        <f>B5+B12</f>
        <v>89319</v>
      </c>
      <c r="C21" s="83" t="s">
        <v>1366</v>
      </c>
      <c r="D21" s="84">
        <f>D5+D11+D12+D20</f>
        <v>89319</v>
      </c>
      <c r="E21" s="103"/>
    </row>
  </sheetData>
  <mergeCells count="4">
    <mergeCell ref="A1:E1"/>
    <mergeCell ref="A3:B3"/>
    <mergeCell ref="C3:D3"/>
    <mergeCell ref="E3:E4"/>
  </mergeCells>
  <printOptions horizontalCentered="1"/>
  <pageMargins left="0.708661417322835" right="0.708661417322835" top="0.748031496062992" bottom="0.748031496062992" header="0.31496062992126" footer="0.31496062992126"/>
  <pageSetup paperSize="9" scale="70" orientation="portrait" blackAndWhite="1"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1"/>
  <sheetViews>
    <sheetView workbookViewId="0">
      <selection activeCell="K11" sqref="K11"/>
    </sheetView>
  </sheetViews>
  <sheetFormatPr defaultColWidth="9" defaultRowHeight="15.75"/>
  <cols>
    <col min="1" max="1" width="34.125" style="54" customWidth="1"/>
    <col min="2" max="2" width="34.5" style="56" customWidth="1"/>
    <col min="3" max="3" width="9" style="54" customWidth="1"/>
    <col min="4" max="4" width="9.375" style="54" customWidth="1"/>
    <col min="5" max="6" width="9" style="54" customWidth="1"/>
    <col min="7" max="244" width="9" style="54"/>
    <col min="245" max="16384" width="9" style="57"/>
  </cols>
  <sheetData>
    <row r="1" s="54" customFormat="1" ht="24" customHeight="1" spans="1:253">
      <c r="A1" s="58" t="s">
        <v>4992</v>
      </c>
      <c r="B1" s="58"/>
      <c r="IK1" s="57"/>
      <c r="IL1" s="57"/>
      <c r="IM1" s="57"/>
      <c r="IN1" s="57"/>
      <c r="IO1" s="57"/>
      <c r="IP1" s="57"/>
      <c r="IQ1" s="57"/>
      <c r="IR1" s="57"/>
      <c r="IS1" s="57"/>
    </row>
    <row r="2" s="54" customFormat="1" ht="15.95" customHeight="1" spans="1:253">
      <c r="A2" s="59"/>
      <c r="B2" s="93" t="s">
        <v>4533</v>
      </c>
      <c r="IK2" s="57"/>
      <c r="IL2" s="57"/>
      <c r="IM2" s="57"/>
      <c r="IN2" s="57"/>
      <c r="IO2" s="57"/>
      <c r="IP2" s="57"/>
      <c r="IQ2" s="57"/>
      <c r="IR2" s="57"/>
      <c r="IS2" s="57"/>
    </row>
    <row r="3" s="55" customFormat="1" ht="33.75" customHeight="1" spans="1:2">
      <c r="A3" s="62" t="s">
        <v>4985</v>
      </c>
      <c r="B3" s="63"/>
    </row>
    <row r="4" s="55" customFormat="1" ht="33.75" customHeight="1" spans="1:2">
      <c r="A4" s="94" t="s">
        <v>1419</v>
      </c>
      <c r="B4" s="68" t="s">
        <v>1420</v>
      </c>
    </row>
    <row r="5" s="55" customFormat="1" ht="33.75" customHeight="1" spans="1:2">
      <c r="A5" s="704" t="s">
        <v>1343</v>
      </c>
      <c r="B5" s="72">
        <f>SUM(B6:B11)</f>
        <v>33314</v>
      </c>
    </row>
    <row r="6" s="55" customFormat="1" ht="33.75" customHeight="1" spans="1:2">
      <c r="A6" s="96" t="s">
        <v>1345</v>
      </c>
      <c r="B6" s="97">
        <v>18285</v>
      </c>
    </row>
    <row r="7" s="55" customFormat="1" ht="33.75" customHeight="1" spans="1:2">
      <c r="A7" s="647" t="s">
        <v>1347</v>
      </c>
      <c r="B7" s="76">
        <v>10334</v>
      </c>
    </row>
    <row r="8" s="55" customFormat="1" ht="33.75" customHeight="1" spans="1:2">
      <c r="A8" s="96" t="s">
        <v>1349</v>
      </c>
      <c r="B8" s="76">
        <v>26</v>
      </c>
    </row>
    <row r="9" s="55" customFormat="1" ht="33.75" customHeight="1" spans="1:2">
      <c r="A9" s="96" t="s">
        <v>1351</v>
      </c>
      <c r="B9" s="79">
        <v>475</v>
      </c>
    </row>
    <row r="10" s="55" customFormat="1" ht="33.75" customHeight="1" spans="1:2">
      <c r="A10" s="96" t="s">
        <v>1353</v>
      </c>
      <c r="B10" s="76">
        <v>3</v>
      </c>
    </row>
    <row r="11" s="55" customFormat="1" ht="33.75" customHeight="1" spans="1:2">
      <c r="A11" s="98" t="s">
        <v>4988</v>
      </c>
      <c r="B11" s="72">
        <v>4191</v>
      </c>
    </row>
    <row r="12" s="55" customFormat="1" ht="33.75" customHeight="1" spans="1:2">
      <c r="A12" s="705" t="s">
        <v>1356</v>
      </c>
      <c r="B12" s="72">
        <f>SUM(B13:B20)</f>
        <v>56005</v>
      </c>
    </row>
    <row r="13" s="55" customFormat="1" ht="33.75" customHeight="1" spans="1:2">
      <c r="A13" s="96" t="s">
        <v>1358</v>
      </c>
      <c r="B13" s="76">
        <v>3998</v>
      </c>
    </row>
    <row r="14" s="55" customFormat="1" ht="33.75" customHeight="1" spans="1:2">
      <c r="A14" s="96" t="s">
        <v>1360</v>
      </c>
      <c r="B14" s="76">
        <v>14960</v>
      </c>
    </row>
    <row r="15" s="55" customFormat="1" ht="33.75" customHeight="1" spans="1:2">
      <c r="A15" s="96" t="s">
        <v>4990</v>
      </c>
      <c r="B15" s="76">
        <v>54</v>
      </c>
    </row>
    <row r="16" s="55" customFormat="1" ht="33.75" customHeight="1" spans="1:2">
      <c r="A16" s="96" t="s">
        <v>1349</v>
      </c>
      <c r="B16" s="76">
        <v>100</v>
      </c>
    </row>
    <row r="17" spans="1:2">
      <c r="A17" s="96" t="s">
        <v>1363</v>
      </c>
      <c r="B17" s="76">
        <v>538</v>
      </c>
    </row>
    <row r="18" spans="1:2">
      <c r="A18" s="96" t="s">
        <v>1351</v>
      </c>
      <c r="B18" s="76">
        <v>16</v>
      </c>
    </row>
    <row r="19" spans="1:2">
      <c r="A19" s="96" t="s">
        <v>1353</v>
      </c>
      <c r="B19" s="76">
        <v>6</v>
      </c>
    </row>
    <row r="20" spans="1:2">
      <c r="A20" s="98" t="s">
        <v>4991</v>
      </c>
      <c r="B20" s="72">
        <v>36333</v>
      </c>
    </row>
    <row r="21" ht="16.5" spans="1:2">
      <c r="A21" s="99" t="s">
        <v>1366</v>
      </c>
      <c r="B21" s="84">
        <f>B5+B12</f>
        <v>89319</v>
      </c>
    </row>
  </sheetData>
  <mergeCells count="2">
    <mergeCell ref="A1:B1"/>
    <mergeCell ref="A3:B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C1" workbookViewId="0">
      <selection activeCell="N10" sqref="N10"/>
    </sheetView>
  </sheetViews>
  <sheetFormatPr defaultColWidth="9" defaultRowHeight="15.75"/>
  <cols>
    <col min="1" max="1" width="34.125" style="54" hidden="1" customWidth="1"/>
    <col min="2" max="2" width="11.625" style="56" hidden="1" customWidth="1"/>
    <col min="3" max="3" width="35.25" style="56" customWidth="1"/>
    <col min="4" max="4" width="18.875" style="56" customWidth="1"/>
    <col min="5" max="5" width="23.75" style="54" customWidth="1"/>
    <col min="6" max="6" width="9" style="54" customWidth="1"/>
    <col min="7" max="7" width="9.375" style="54" customWidth="1"/>
    <col min="8" max="9" width="9" style="54" customWidth="1"/>
    <col min="10" max="247" width="9" style="54"/>
    <col min="248" max="16384" width="9" style="57"/>
  </cols>
  <sheetData>
    <row r="1" s="54" customFormat="1" ht="24" customHeight="1" spans="1:256">
      <c r="A1" s="58" t="s">
        <v>4993</v>
      </c>
      <c r="B1" s="58"/>
      <c r="C1" s="58"/>
      <c r="D1" s="58"/>
      <c r="E1" s="58"/>
      <c r="IN1" s="57"/>
      <c r="IO1" s="57"/>
      <c r="IP1" s="57"/>
      <c r="IQ1" s="57"/>
      <c r="IR1" s="57"/>
      <c r="IS1" s="57"/>
      <c r="IT1" s="57"/>
      <c r="IU1" s="57"/>
      <c r="IV1" s="57"/>
    </row>
    <row r="2" s="54" customFormat="1" ht="15.95" customHeight="1" spans="1:256">
      <c r="A2" s="59"/>
      <c r="B2" s="60"/>
      <c r="D2" s="61"/>
      <c r="E2" s="54" t="s">
        <v>4984</v>
      </c>
      <c r="IN2" s="57"/>
      <c r="IO2" s="57"/>
      <c r="IP2" s="57"/>
      <c r="IQ2" s="57"/>
      <c r="IR2" s="57"/>
      <c r="IS2" s="57"/>
      <c r="IT2" s="57"/>
      <c r="IU2" s="57"/>
      <c r="IV2" s="57"/>
    </row>
    <row r="3" s="55" customFormat="1" ht="33.75" customHeight="1" spans="1:5">
      <c r="A3" s="62" t="s">
        <v>4985</v>
      </c>
      <c r="B3" s="63"/>
      <c r="C3" s="64" t="s">
        <v>4986</v>
      </c>
      <c r="D3" s="65"/>
      <c r="E3" s="86" t="s">
        <v>4987</v>
      </c>
    </row>
    <row r="4" s="55" customFormat="1" ht="33.75" customHeight="1" spans="1:5">
      <c r="A4" s="66" t="s">
        <v>4994</v>
      </c>
      <c r="B4" s="67" t="s">
        <v>4995</v>
      </c>
      <c r="C4" s="68" t="s">
        <v>1419</v>
      </c>
      <c r="D4" s="68" t="s">
        <v>1420</v>
      </c>
      <c r="E4" s="87"/>
    </row>
    <row r="5" s="55" customFormat="1" ht="33.75" customHeight="1" spans="1:5">
      <c r="A5" s="69" t="s">
        <v>4996</v>
      </c>
      <c r="B5" s="70">
        <f>SUM(B6:B9)</f>
        <v>24378</v>
      </c>
      <c r="C5" s="672" t="s">
        <v>1344</v>
      </c>
      <c r="D5" s="72">
        <v>28017</v>
      </c>
      <c r="E5" s="88"/>
    </row>
    <row r="6" s="55" customFormat="1" ht="33.75" customHeight="1" spans="1:5">
      <c r="A6" s="73" t="s">
        <v>4997</v>
      </c>
      <c r="B6" s="74">
        <v>14890</v>
      </c>
      <c r="C6" s="75" t="s">
        <v>1346</v>
      </c>
      <c r="D6" s="76">
        <v>27877</v>
      </c>
      <c r="E6" s="89"/>
    </row>
    <row r="7" s="55" customFormat="1" ht="33.75" customHeight="1" spans="1:5">
      <c r="A7" s="73" t="s">
        <v>4998</v>
      </c>
      <c r="B7" s="77">
        <v>8318</v>
      </c>
      <c r="C7" s="75" t="s">
        <v>1348</v>
      </c>
      <c r="D7" s="76"/>
      <c r="E7" s="89"/>
    </row>
    <row r="8" s="55" customFormat="1" ht="33.75" customHeight="1" spans="1:5">
      <c r="A8" s="73" t="s">
        <v>4999</v>
      </c>
      <c r="B8" s="77">
        <v>12</v>
      </c>
      <c r="C8" s="75" t="s">
        <v>1350</v>
      </c>
      <c r="D8" s="76">
        <v>75</v>
      </c>
      <c r="E8" s="89"/>
    </row>
    <row r="9" s="55" customFormat="1" ht="33.75" customHeight="1" spans="1:5">
      <c r="A9" s="73" t="s">
        <v>5000</v>
      </c>
      <c r="B9" s="78">
        <v>1158</v>
      </c>
      <c r="C9" s="75" t="s">
        <v>1352</v>
      </c>
      <c r="D9" s="79">
        <v>65</v>
      </c>
      <c r="E9" s="89"/>
    </row>
    <row r="10" s="55" customFormat="1" ht="33.75" customHeight="1" spans="1:5">
      <c r="A10" s="73" t="s">
        <v>5001</v>
      </c>
      <c r="B10" s="77">
        <v>2597</v>
      </c>
      <c r="C10" s="80" t="s">
        <v>4989</v>
      </c>
      <c r="D10" s="72">
        <v>5297</v>
      </c>
      <c r="E10" s="88"/>
    </row>
    <row r="11" s="55" customFormat="1" ht="33.75" customHeight="1" spans="1:5">
      <c r="A11" s="73" t="s">
        <v>5002</v>
      </c>
      <c r="B11" s="77">
        <v>10649</v>
      </c>
      <c r="C11" s="674" t="s">
        <v>1357</v>
      </c>
      <c r="D11" s="72">
        <v>15602</v>
      </c>
      <c r="E11" s="88"/>
    </row>
    <row r="12" s="55" customFormat="1" ht="33.75" customHeight="1" spans="1:5">
      <c r="A12" s="73" t="s">
        <v>5003</v>
      </c>
      <c r="B12" s="77"/>
      <c r="C12" s="75" t="s">
        <v>1359</v>
      </c>
      <c r="D12" s="76">
        <v>14581</v>
      </c>
      <c r="E12" s="89"/>
    </row>
    <row r="13" s="55" customFormat="1" ht="33.75" customHeight="1" spans="1:5">
      <c r="A13" s="73" t="s">
        <v>5000</v>
      </c>
      <c r="B13" s="77">
        <v>26589</v>
      </c>
      <c r="C13" s="75" t="s">
        <v>1361</v>
      </c>
      <c r="D13" s="76">
        <v>886</v>
      </c>
      <c r="E13" s="89"/>
    </row>
    <row r="14" s="55" customFormat="1" ht="33.75" customHeight="1" spans="1:5">
      <c r="A14" s="73"/>
      <c r="B14" s="77"/>
      <c r="C14" s="75" t="s">
        <v>1362</v>
      </c>
      <c r="D14" s="76">
        <v>129</v>
      </c>
      <c r="E14" s="89"/>
    </row>
    <row r="15" s="55" customFormat="1" ht="33.75" customHeight="1" spans="1:5">
      <c r="A15" s="81" t="s">
        <v>5004</v>
      </c>
      <c r="B15" s="82" t="e">
        <f>SUM(B5+#REF!)</f>
        <v>#REF!</v>
      </c>
      <c r="C15" s="75" t="s">
        <v>1350</v>
      </c>
      <c r="D15" s="76">
        <v>2</v>
      </c>
      <c r="E15" s="89"/>
    </row>
    <row r="16" spans="3:5">
      <c r="C16" s="75" t="s">
        <v>1352</v>
      </c>
      <c r="D16" s="76">
        <v>4</v>
      </c>
      <c r="E16" s="89"/>
    </row>
    <row r="17" spans="3:5">
      <c r="C17" s="75"/>
      <c r="D17" s="76"/>
      <c r="E17" s="89"/>
    </row>
    <row r="18" spans="3:5">
      <c r="C18" s="75"/>
      <c r="D18" s="76"/>
      <c r="E18" s="89"/>
    </row>
    <row r="19" spans="3:5">
      <c r="C19" s="80" t="s">
        <v>4989</v>
      </c>
      <c r="D19" s="72">
        <v>40403</v>
      </c>
      <c r="E19" s="89"/>
    </row>
    <row r="20" ht="16.5" spans="3:5">
      <c r="C20" s="83" t="s">
        <v>1366</v>
      </c>
      <c r="D20" s="84">
        <v>89319</v>
      </c>
      <c r="E20" s="90"/>
    </row>
    <row r="21" spans="3:5">
      <c r="C21" s="85"/>
      <c r="D21" s="85"/>
      <c r="E21" s="91"/>
    </row>
    <row r="22" spans="5:5">
      <c r="E22" s="92"/>
    </row>
    <row r="23" spans="5:5">
      <c r="E23" s="92"/>
    </row>
    <row r="24" spans="5:5">
      <c r="E24" s="92"/>
    </row>
    <row r="25" spans="5:5">
      <c r="E25" s="92"/>
    </row>
  </sheetData>
  <mergeCells count="4">
    <mergeCell ref="A1:E1"/>
    <mergeCell ref="A3:B3"/>
    <mergeCell ref="C3:D3"/>
    <mergeCell ref="E3:E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showZeros="0" zoomScaleSheetLayoutView="60" workbookViewId="0">
      <selection activeCell="O17" sqref="O17"/>
    </sheetView>
  </sheetViews>
  <sheetFormatPr defaultColWidth="9" defaultRowHeight="15.75"/>
  <cols>
    <col min="1" max="1" width="25.25" style="45" customWidth="1"/>
    <col min="2" max="7" width="7.625" style="45" customWidth="1"/>
    <col min="8" max="8" width="29.5" style="45" customWidth="1"/>
    <col min="9" max="14" width="7.625" style="45" customWidth="1"/>
    <col min="15" max="16384" width="9" style="45"/>
  </cols>
  <sheetData>
    <row r="1" s="50" customFormat="1" ht="24.95" customHeight="1" spans="1:14">
      <c r="A1" s="706" t="s">
        <v>5005</v>
      </c>
      <c r="B1" s="51"/>
      <c r="C1" s="51"/>
      <c r="D1" s="51"/>
      <c r="E1" s="51"/>
      <c r="F1" s="51"/>
      <c r="G1" s="51"/>
      <c r="H1" s="51"/>
      <c r="I1" s="51"/>
      <c r="J1" s="51"/>
      <c r="K1" s="51"/>
      <c r="L1" s="51"/>
      <c r="M1" s="51"/>
      <c r="N1" s="51"/>
    </row>
    <row r="2" s="50" customFormat="1" ht="24" customHeight="1" spans="1:14">
      <c r="A2" s="52"/>
      <c r="B2" s="52"/>
      <c r="C2" s="52"/>
      <c r="D2" s="52"/>
      <c r="E2" s="52"/>
      <c r="F2" s="52"/>
      <c r="N2" s="53" t="s">
        <v>5006</v>
      </c>
    </row>
    <row r="3" s="45" customFormat="1" ht="27" customHeight="1" spans="1:14">
      <c r="A3" s="44" t="s">
        <v>5007</v>
      </c>
      <c r="B3" s="44"/>
      <c r="C3" s="44"/>
      <c r="D3" s="44"/>
      <c r="E3" s="44"/>
      <c r="F3" s="44"/>
      <c r="G3" s="44"/>
      <c r="H3" s="44" t="s">
        <v>5008</v>
      </c>
      <c r="I3" s="44"/>
      <c r="J3" s="44"/>
      <c r="K3" s="44"/>
      <c r="L3" s="44"/>
      <c r="M3" s="44"/>
      <c r="N3" s="44"/>
    </row>
    <row r="4" s="45" customFormat="1" ht="27" customHeight="1" spans="1:14">
      <c r="A4" s="40" t="s">
        <v>5009</v>
      </c>
      <c r="B4" s="707" t="s">
        <v>5010</v>
      </c>
      <c r="C4" s="40"/>
      <c r="D4" s="40"/>
      <c r="E4" s="707" t="s">
        <v>5011</v>
      </c>
      <c r="F4" s="40"/>
      <c r="G4" s="40"/>
      <c r="H4" s="40" t="s">
        <v>5009</v>
      </c>
      <c r="I4" s="707" t="s">
        <v>5010</v>
      </c>
      <c r="J4" s="40"/>
      <c r="K4" s="40"/>
      <c r="L4" s="707" t="s">
        <v>5011</v>
      </c>
      <c r="M4" s="40"/>
      <c r="N4" s="40"/>
    </row>
    <row r="5" s="45" customFormat="1" ht="36.75" customHeight="1" spans="1:14">
      <c r="A5" s="40"/>
      <c r="B5" s="40" t="s">
        <v>5012</v>
      </c>
      <c r="C5" s="40" t="s">
        <v>5013</v>
      </c>
      <c r="D5" s="678" t="s">
        <v>5014</v>
      </c>
      <c r="E5" s="40" t="s">
        <v>5012</v>
      </c>
      <c r="F5" s="40" t="s">
        <v>5013</v>
      </c>
      <c r="G5" s="678" t="s">
        <v>5014</v>
      </c>
      <c r="H5" s="40"/>
      <c r="I5" s="40" t="s">
        <v>5012</v>
      </c>
      <c r="J5" s="40" t="s">
        <v>5013</v>
      </c>
      <c r="K5" s="678" t="s">
        <v>5014</v>
      </c>
      <c r="L5" s="40" t="s">
        <v>5012</v>
      </c>
      <c r="M5" s="40" t="s">
        <v>5013</v>
      </c>
      <c r="N5" s="678" t="s">
        <v>5014</v>
      </c>
    </row>
    <row r="6" s="45" customFormat="1" ht="27" customHeight="1" spans="1:14">
      <c r="A6" s="40" t="s">
        <v>5015</v>
      </c>
      <c r="B6" s="40">
        <v>1</v>
      </c>
      <c r="C6" s="40">
        <v>2</v>
      </c>
      <c r="D6" s="40">
        <v>3</v>
      </c>
      <c r="E6" s="40">
        <v>4</v>
      </c>
      <c r="F6" s="40">
        <v>5</v>
      </c>
      <c r="G6" s="40">
        <v>6</v>
      </c>
      <c r="H6" s="40" t="s">
        <v>5015</v>
      </c>
      <c r="I6" s="40">
        <v>7</v>
      </c>
      <c r="J6" s="40">
        <v>8</v>
      </c>
      <c r="K6" s="40">
        <v>9</v>
      </c>
      <c r="L6" s="40">
        <v>10</v>
      </c>
      <c r="M6" s="40">
        <v>11</v>
      </c>
      <c r="N6" s="40">
        <v>12</v>
      </c>
    </row>
    <row r="7" s="45" customFormat="1" ht="27" customHeight="1" spans="1:14">
      <c r="A7" s="41" t="s">
        <v>1376</v>
      </c>
      <c r="B7" s="41">
        <f t="shared" ref="B7:B17" si="0">SUM(C7:D7)</f>
        <v>0</v>
      </c>
      <c r="C7" s="41"/>
      <c r="D7" s="41"/>
      <c r="E7" s="41">
        <f t="shared" ref="E7:E17" si="1">SUM(F7:G7)</f>
        <v>0</v>
      </c>
      <c r="F7" s="41"/>
      <c r="G7" s="41"/>
      <c r="H7" s="12" t="s">
        <v>1377</v>
      </c>
      <c r="I7" s="41">
        <f t="shared" ref="I7:I11" si="2">J7+K7</f>
        <v>10</v>
      </c>
      <c r="J7" s="41"/>
      <c r="K7" s="41">
        <v>10</v>
      </c>
      <c r="L7" s="41">
        <f t="shared" ref="L7:L11" si="3">M7+N7</f>
        <v>22</v>
      </c>
      <c r="M7" s="41"/>
      <c r="N7" s="40">
        <v>22</v>
      </c>
    </row>
    <row r="8" s="45" customFormat="1" ht="27" customHeight="1" spans="1:14">
      <c r="A8" s="41" t="s">
        <v>1378</v>
      </c>
      <c r="B8" s="41">
        <f t="shared" si="0"/>
        <v>0</v>
      </c>
      <c r="C8" s="41"/>
      <c r="D8" s="41"/>
      <c r="E8" s="41">
        <f t="shared" si="1"/>
        <v>0</v>
      </c>
      <c r="F8" s="41"/>
      <c r="G8" s="41"/>
      <c r="H8" s="41" t="s">
        <v>1379</v>
      </c>
      <c r="I8" s="41">
        <f t="shared" si="2"/>
        <v>0</v>
      </c>
      <c r="J8" s="41"/>
      <c r="K8" s="41"/>
      <c r="L8" s="41">
        <f t="shared" si="3"/>
        <v>0</v>
      </c>
      <c r="M8" s="41"/>
      <c r="N8" s="41"/>
    </row>
    <row r="9" s="45" customFormat="1" ht="27" customHeight="1" spans="1:14">
      <c r="A9" s="41" t="s">
        <v>1380</v>
      </c>
      <c r="B9" s="41">
        <f t="shared" si="0"/>
        <v>0</v>
      </c>
      <c r="C9" s="41"/>
      <c r="D9" s="41"/>
      <c r="E9" s="41">
        <f t="shared" si="1"/>
        <v>0</v>
      </c>
      <c r="F9" s="41"/>
      <c r="G9" s="41"/>
      <c r="H9" s="41" t="s">
        <v>1381</v>
      </c>
      <c r="I9" s="41">
        <f t="shared" si="2"/>
        <v>0</v>
      </c>
      <c r="J9" s="41"/>
      <c r="K9" s="41"/>
      <c r="L9" s="41">
        <f t="shared" si="3"/>
        <v>0</v>
      </c>
      <c r="M9" s="41"/>
      <c r="N9" s="41"/>
    </row>
    <row r="10" s="45" customFormat="1" ht="27" customHeight="1" spans="1:14">
      <c r="A10" s="41" t="s">
        <v>1382</v>
      </c>
      <c r="B10" s="41">
        <f t="shared" si="0"/>
        <v>0</v>
      </c>
      <c r="C10" s="41"/>
      <c r="D10" s="41"/>
      <c r="E10" s="41">
        <f t="shared" si="1"/>
        <v>0</v>
      </c>
      <c r="F10" s="41"/>
      <c r="G10" s="41"/>
      <c r="H10" s="41" t="s">
        <v>1383</v>
      </c>
      <c r="I10" s="41">
        <f t="shared" si="2"/>
        <v>0</v>
      </c>
      <c r="J10" s="41"/>
      <c r="K10" s="41"/>
      <c r="L10" s="41">
        <f t="shared" si="3"/>
        <v>0</v>
      </c>
      <c r="M10" s="41"/>
      <c r="N10" s="41"/>
    </row>
    <row r="11" s="45" customFormat="1" ht="27" customHeight="1" spans="1:14">
      <c r="A11" s="43" t="s">
        <v>1384</v>
      </c>
      <c r="B11" s="41">
        <f t="shared" si="0"/>
        <v>0</v>
      </c>
      <c r="C11" s="40"/>
      <c r="D11" s="40"/>
      <c r="E11" s="41">
        <f t="shared" si="1"/>
        <v>0</v>
      </c>
      <c r="F11" s="40"/>
      <c r="G11" s="41"/>
      <c r="H11" s="41" t="s">
        <v>1385</v>
      </c>
      <c r="I11" s="41">
        <f t="shared" si="2"/>
        <v>0</v>
      </c>
      <c r="J11" s="41"/>
      <c r="K11" s="41"/>
      <c r="L11" s="40">
        <f t="shared" si="3"/>
        <v>0</v>
      </c>
      <c r="M11" s="40"/>
      <c r="N11" s="40"/>
    </row>
    <row r="12" s="45" customFormat="1" ht="27" customHeight="1" spans="1:14">
      <c r="A12" s="40"/>
      <c r="B12" s="41">
        <f t="shared" si="0"/>
        <v>0</v>
      </c>
      <c r="C12" s="47"/>
      <c r="D12" s="47"/>
      <c r="E12" s="41">
        <f t="shared" si="1"/>
        <v>0</v>
      </c>
      <c r="F12" s="47"/>
      <c r="G12" s="47"/>
      <c r="H12" s="41"/>
      <c r="I12" s="41"/>
      <c r="J12" s="41"/>
      <c r="K12" s="41"/>
      <c r="L12" s="40"/>
      <c r="M12" s="40"/>
      <c r="N12" s="40"/>
    </row>
    <row r="13" s="45" customFormat="1" ht="27" customHeight="1" spans="1:14">
      <c r="A13" s="42" t="s">
        <v>1386</v>
      </c>
      <c r="B13" s="41">
        <f t="shared" si="0"/>
        <v>0</v>
      </c>
      <c r="C13" s="48">
        <f t="shared" ref="C13:G13" si="4">SUM(C7:C11)</f>
        <v>0</v>
      </c>
      <c r="D13" s="48">
        <f t="shared" si="4"/>
        <v>0</v>
      </c>
      <c r="E13" s="41">
        <f t="shared" si="1"/>
        <v>0</v>
      </c>
      <c r="F13" s="48">
        <f t="shared" si="4"/>
        <v>0</v>
      </c>
      <c r="G13" s="48">
        <f t="shared" si="4"/>
        <v>0</v>
      </c>
      <c r="H13" s="42" t="s">
        <v>1387</v>
      </c>
      <c r="I13" s="41">
        <f t="shared" ref="I13:I17" si="5">J13+K13</f>
        <v>10</v>
      </c>
      <c r="J13" s="40">
        <f t="shared" ref="J13:N13" si="6">SUM(J7:J11)</f>
        <v>0</v>
      </c>
      <c r="K13" s="40">
        <f t="shared" si="6"/>
        <v>10</v>
      </c>
      <c r="L13" s="40">
        <f t="shared" ref="L13:L17" si="7">M13+N13</f>
        <v>22</v>
      </c>
      <c r="M13" s="40">
        <f t="shared" si="6"/>
        <v>0</v>
      </c>
      <c r="N13" s="40">
        <f t="shared" si="6"/>
        <v>22</v>
      </c>
    </row>
    <row r="14" s="45" customFormat="1" ht="27" customHeight="1" spans="1:14">
      <c r="A14" s="43" t="s">
        <v>1388</v>
      </c>
      <c r="B14" s="41">
        <f t="shared" si="0"/>
        <v>7</v>
      </c>
      <c r="C14" s="40"/>
      <c r="D14" s="40">
        <v>7</v>
      </c>
      <c r="E14" s="41">
        <f t="shared" si="1"/>
        <v>0</v>
      </c>
      <c r="F14" s="40"/>
      <c r="G14" s="40"/>
      <c r="H14" s="43" t="s">
        <v>1389</v>
      </c>
      <c r="I14" s="40">
        <f>J14</f>
        <v>0</v>
      </c>
      <c r="J14" s="40"/>
      <c r="K14" s="40" t="s">
        <v>1390</v>
      </c>
      <c r="L14" s="40">
        <f>M14</f>
        <v>0</v>
      </c>
      <c r="M14" s="40"/>
      <c r="N14" s="40" t="s">
        <v>1390</v>
      </c>
    </row>
    <row r="15" s="45" customFormat="1" ht="27" customHeight="1" spans="1:14">
      <c r="A15" s="43" t="s">
        <v>1391</v>
      </c>
      <c r="B15" s="41">
        <f t="shared" si="0"/>
        <v>25</v>
      </c>
      <c r="C15" s="40"/>
      <c r="D15" s="40">
        <v>25</v>
      </c>
      <c r="E15" s="40">
        <f t="shared" si="1"/>
        <v>22</v>
      </c>
      <c r="F15" s="40"/>
      <c r="G15" s="40">
        <v>22</v>
      </c>
      <c r="H15" s="41" t="s">
        <v>1392</v>
      </c>
      <c r="I15" s="40">
        <f t="shared" si="5"/>
        <v>0</v>
      </c>
      <c r="J15" s="41"/>
      <c r="K15" s="41"/>
      <c r="L15" s="40">
        <f t="shared" si="7"/>
        <v>0</v>
      </c>
      <c r="M15" s="41"/>
      <c r="N15" s="41"/>
    </row>
    <row r="16" s="45" customFormat="1" ht="27" customHeight="1" spans="1:14">
      <c r="A16" s="48"/>
      <c r="B16" s="41">
        <f t="shared" si="0"/>
        <v>0</v>
      </c>
      <c r="C16" s="41"/>
      <c r="D16" s="41"/>
      <c r="E16" s="40">
        <f t="shared" si="1"/>
        <v>0</v>
      </c>
      <c r="F16" s="40"/>
      <c r="G16" s="40"/>
      <c r="H16" s="41" t="s">
        <v>1393</v>
      </c>
      <c r="I16" s="40">
        <f t="shared" si="5"/>
        <v>22</v>
      </c>
      <c r="J16" s="41"/>
      <c r="K16" s="40">
        <v>22</v>
      </c>
      <c r="L16" s="40">
        <f t="shared" si="7"/>
        <v>0</v>
      </c>
      <c r="M16" s="40"/>
      <c r="N16" s="40"/>
    </row>
    <row r="17" s="45" customFormat="1" ht="27" customHeight="1" spans="1:14">
      <c r="A17" s="42" t="s">
        <v>1394</v>
      </c>
      <c r="B17" s="41">
        <f t="shared" si="0"/>
        <v>32</v>
      </c>
      <c r="C17" s="40">
        <f t="shared" ref="C17:G17" si="8">C13+C14+C15</f>
        <v>0</v>
      </c>
      <c r="D17" s="40">
        <f t="shared" si="8"/>
        <v>32</v>
      </c>
      <c r="E17" s="40">
        <f t="shared" si="1"/>
        <v>22</v>
      </c>
      <c r="F17" s="40">
        <f t="shared" si="8"/>
        <v>0</v>
      </c>
      <c r="G17" s="40">
        <f t="shared" si="8"/>
        <v>22</v>
      </c>
      <c r="H17" s="42" t="s">
        <v>1395</v>
      </c>
      <c r="I17" s="40">
        <f t="shared" si="5"/>
        <v>32</v>
      </c>
      <c r="J17" s="40">
        <f>J13+J14+J15+J16</f>
        <v>0</v>
      </c>
      <c r="K17" s="40">
        <f>K13+K15+K16</f>
        <v>32</v>
      </c>
      <c r="L17" s="40">
        <f t="shared" si="7"/>
        <v>22</v>
      </c>
      <c r="M17" s="40">
        <f>M13+M14+M15+M16</f>
        <v>0</v>
      </c>
      <c r="N17" s="40">
        <f>N13+N15+N16</f>
        <v>22</v>
      </c>
    </row>
  </sheetData>
  <mergeCells count="9">
    <mergeCell ref="A1:N1"/>
    <mergeCell ref="A3:G3"/>
    <mergeCell ref="H3:N3"/>
    <mergeCell ref="B4:D4"/>
    <mergeCell ref="E4:G4"/>
    <mergeCell ref="I4:K4"/>
    <mergeCell ref="L4:N4"/>
    <mergeCell ref="A4:A5"/>
    <mergeCell ref="H4:H5"/>
  </mergeCells>
  <printOptions horizontalCentered="1"/>
  <pageMargins left="0.708661417322835" right="0.708661417322835" top="0.748031496062992" bottom="0.748031496062992" header="0.31496062992126" footer="0.31496062992126"/>
  <pageSetup paperSize="9" scale="70" orientation="landscape" horizontalDpi="600" vertic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R5" sqref="R5"/>
    </sheetView>
  </sheetViews>
  <sheetFormatPr defaultColWidth="9" defaultRowHeight="15.75"/>
  <cols>
    <col min="1" max="1" width="25.25" style="30" customWidth="1"/>
    <col min="2" max="6" width="7.625" style="30" customWidth="1"/>
    <col min="7" max="7" width="11.125" style="30" customWidth="1"/>
    <col min="8" max="8" width="29.5" style="30" hidden="1" customWidth="1"/>
    <col min="9" max="14" width="7.625" style="30" hidden="1" customWidth="1"/>
    <col min="15" max="16384" width="9" style="30"/>
  </cols>
  <sheetData>
    <row r="1" customFormat="1" ht="24.95" customHeight="1" spans="1:14">
      <c r="A1" s="31" t="s">
        <v>5016</v>
      </c>
      <c r="B1" s="31"/>
      <c r="C1" s="31"/>
      <c r="D1" s="31"/>
      <c r="E1" s="31"/>
      <c r="F1" s="31"/>
      <c r="G1" s="31"/>
      <c r="H1" s="31"/>
      <c r="I1" s="31"/>
      <c r="J1" s="31"/>
      <c r="K1" s="31"/>
      <c r="L1" s="31"/>
      <c r="M1" s="31"/>
      <c r="N1" s="31"/>
    </row>
    <row r="2" customFormat="1" ht="24" customHeight="1" spans="1:14">
      <c r="A2" s="32"/>
      <c r="B2" s="32"/>
      <c r="C2" s="32"/>
      <c r="D2" s="32"/>
      <c r="E2" s="32"/>
      <c r="F2" s="32"/>
      <c r="G2" t="s">
        <v>4533</v>
      </c>
      <c r="N2" s="46" t="s">
        <v>5006</v>
      </c>
    </row>
    <row r="3" s="30" customFormat="1" ht="27" customHeight="1" spans="1:14">
      <c r="A3" s="44" t="s">
        <v>5007</v>
      </c>
      <c r="B3" s="44"/>
      <c r="C3" s="44"/>
      <c r="D3" s="44"/>
      <c r="E3" s="44"/>
      <c r="F3" s="44"/>
      <c r="G3" s="44"/>
      <c r="H3" s="33" t="s">
        <v>5008</v>
      </c>
      <c r="I3" s="33"/>
      <c r="J3" s="33"/>
      <c r="K3" s="33"/>
      <c r="L3" s="33"/>
      <c r="M3" s="33"/>
      <c r="N3" s="33"/>
    </row>
    <row r="4" s="30" customFormat="1" ht="27" customHeight="1" spans="1:14">
      <c r="A4" s="40" t="s">
        <v>5009</v>
      </c>
      <c r="B4" s="707" t="s">
        <v>5010</v>
      </c>
      <c r="C4" s="40"/>
      <c r="D4" s="40"/>
      <c r="E4" s="707" t="s">
        <v>5011</v>
      </c>
      <c r="F4" s="40"/>
      <c r="G4" s="40"/>
      <c r="H4" s="33" t="s">
        <v>5017</v>
      </c>
      <c r="I4" s="708" t="s">
        <v>5018</v>
      </c>
      <c r="J4" s="33"/>
      <c r="K4" s="33"/>
      <c r="L4" s="708" t="s">
        <v>5019</v>
      </c>
      <c r="M4" s="33"/>
      <c r="N4" s="33"/>
    </row>
    <row r="5" s="30" customFormat="1" ht="36.75" customHeight="1" spans="1:14">
      <c r="A5" s="40"/>
      <c r="B5" s="40" t="s">
        <v>5012</v>
      </c>
      <c r="C5" s="40" t="s">
        <v>5013</v>
      </c>
      <c r="D5" s="678" t="s">
        <v>5014</v>
      </c>
      <c r="E5" s="40" t="s">
        <v>5012</v>
      </c>
      <c r="F5" s="40" t="s">
        <v>5013</v>
      </c>
      <c r="G5" s="678" t="s">
        <v>5014</v>
      </c>
      <c r="H5" s="33"/>
      <c r="I5" s="33" t="s">
        <v>4652</v>
      </c>
      <c r="J5" s="33" t="s">
        <v>5020</v>
      </c>
      <c r="K5" s="709" t="s">
        <v>5021</v>
      </c>
      <c r="L5" s="33" t="s">
        <v>4652</v>
      </c>
      <c r="M5" s="33" t="s">
        <v>5020</v>
      </c>
      <c r="N5" s="709" t="s">
        <v>5021</v>
      </c>
    </row>
    <row r="6" s="30" customFormat="1" ht="27" customHeight="1" spans="1:14">
      <c r="A6" s="40" t="s">
        <v>5015</v>
      </c>
      <c r="B6" s="40">
        <v>1</v>
      </c>
      <c r="C6" s="40">
        <v>2</v>
      </c>
      <c r="D6" s="40">
        <v>3</v>
      </c>
      <c r="E6" s="40">
        <v>4</v>
      </c>
      <c r="F6" s="40">
        <v>5</v>
      </c>
      <c r="G6" s="40">
        <v>6</v>
      </c>
      <c r="H6" s="33" t="s">
        <v>5022</v>
      </c>
      <c r="I6" s="33">
        <v>7</v>
      </c>
      <c r="J6" s="33">
        <v>8</v>
      </c>
      <c r="K6" s="33">
        <v>9</v>
      </c>
      <c r="L6" s="33">
        <v>10</v>
      </c>
      <c r="M6" s="33">
        <v>11</v>
      </c>
      <c r="N6" s="33">
        <v>12</v>
      </c>
    </row>
    <row r="7" s="30" customFormat="1" ht="27" customHeight="1" spans="1:14">
      <c r="A7" s="41" t="s">
        <v>1376</v>
      </c>
      <c r="B7" s="41">
        <f t="shared" ref="B7:B17" si="0">SUM(C7:D7)</f>
        <v>0</v>
      </c>
      <c r="C7" s="41"/>
      <c r="D7" s="41"/>
      <c r="E7" s="41">
        <f t="shared" ref="E7:E17" si="1">SUM(F7:G7)</f>
        <v>0</v>
      </c>
      <c r="F7" s="41"/>
      <c r="G7" s="41"/>
      <c r="H7" s="49" t="s">
        <v>5023</v>
      </c>
      <c r="I7" s="35">
        <f t="shared" ref="I7:I11" si="2">J7+K7</f>
        <v>6</v>
      </c>
      <c r="J7" s="35"/>
      <c r="K7" s="35">
        <v>6</v>
      </c>
      <c r="L7" s="35">
        <f t="shared" ref="L7:L11" si="3">M7+N7</f>
        <v>20</v>
      </c>
      <c r="M7" s="35"/>
      <c r="N7" s="33">
        <v>20</v>
      </c>
    </row>
    <row r="8" s="30" customFormat="1" ht="27" customHeight="1" spans="1:14">
      <c r="A8" s="41" t="s">
        <v>1378</v>
      </c>
      <c r="B8" s="41">
        <f t="shared" si="0"/>
        <v>0</v>
      </c>
      <c r="C8" s="41"/>
      <c r="D8" s="41"/>
      <c r="E8" s="41">
        <f t="shared" si="1"/>
        <v>0</v>
      </c>
      <c r="F8" s="41"/>
      <c r="G8" s="41"/>
      <c r="H8" s="35" t="s">
        <v>5024</v>
      </c>
      <c r="I8" s="35">
        <f t="shared" si="2"/>
        <v>0</v>
      </c>
      <c r="J8" s="35"/>
      <c r="K8" s="35"/>
      <c r="L8" s="35">
        <f t="shared" si="3"/>
        <v>0</v>
      </c>
      <c r="M8" s="35"/>
      <c r="N8" s="35"/>
    </row>
    <row r="9" s="30" customFormat="1" ht="27" customHeight="1" spans="1:14">
      <c r="A9" s="41" t="s">
        <v>1380</v>
      </c>
      <c r="B9" s="41">
        <f t="shared" si="0"/>
        <v>0</v>
      </c>
      <c r="C9" s="41"/>
      <c r="D9" s="41"/>
      <c r="E9" s="41">
        <f t="shared" si="1"/>
        <v>0</v>
      </c>
      <c r="F9" s="41"/>
      <c r="G9" s="41"/>
      <c r="H9" s="35" t="s">
        <v>5025</v>
      </c>
      <c r="I9" s="35">
        <f t="shared" si="2"/>
        <v>0</v>
      </c>
      <c r="J9" s="35"/>
      <c r="K9" s="35"/>
      <c r="L9" s="35">
        <f t="shared" si="3"/>
        <v>0</v>
      </c>
      <c r="M9" s="35"/>
      <c r="N9" s="35"/>
    </row>
    <row r="10" s="30" customFormat="1" ht="27" customHeight="1" spans="1:14">
      <c r="A10" s="41" t="s">
        <v>1382</v>
      </c>
      <c r="B10" s="41">
        <f t="shared" si="0"/>
        <v>0</v>
      </c>
      <c r="C10" s="41"/>
      <c r="D10" s="41"/>
      <c r="E10" s="41">
        <f t="shared" si="1"/>
        <v>0</v>
      </c>
      <c r="F10" s="41"/>
      <c r="G10" s="41"/>
      <c r="H10" s="35" t="s">
        <v>5026</v>
      </c>
      <c r="I10" s="35">
        <f t="shared" si="2"/>
        <v>0</v>
      </c>
      <c r="J10" s="35"/>
      <c r="K10" s="35"/>
      <c r="L10" s="35">
        <f t="shared" si="3"/>
        <v>0</v>
      </c>
      <c r="M10" s="35"/>
      <c r="N10" s="35"/>
    </row>
    <row r="11" s="30" customFormat="1" ht="27" customHeight="1" spans="1:14">
      <c r="A11" s="43" t="s">
        <v>1384</v>
      </c>
      <c r="B11" s="41">
        <f t="shared" si="0"/>
        <v>0</v>
      </c>
      <c r="C11" s="40"/>
      <c r="D11" s="40"/>
      <c r="E11" s="41">
        <f t="shared" si="1"/>
        <v>0</v>
      </c>
      <c r="F11" s="40"/>
      <c r="G11" s="41"/>
      <c r="H11" s="35" t="s">
        <v>5027</v>
      </c>
      <c r="I11" s="35">
        <f t="shared" si="2"/>
        <v>0</v>
      </c>
      <c r="J11" s="35"/>
      <c r="K11" s="35"/>
      <c r="L11" s="33">
        <f t="shared" si="3"/>
        <v>0</v>
      </c>
      <c r="M11" s="33"/>
      <c r="N11" s="33"/>
    </row>
    <row r="12" s="30" customFormat="1" ht="27" customHeight="1" spans="1:14">
      <c r="A12" s="40"/>
      <c r="B12" s="41">
        <f t="shared" si="0"/>
        <v>0</v>
      </c>
      <c r="C12" s="47"/>
      <c r="D12" s="47"/>
      <c r="E12" s="41">
        <f t="shared" si="1"/>
        <v>0</v>
      </c>
      <c r="F12" s="47"/>
      <c r="G12" s="47"/>
      <c r="H12" s="35"/>
      <c r="I12" s="35"/>
      <c r="J12" s="35"/>
      <c r="K12" s="35"/>
      <c r="L12" s="33"/>
      <c r="M12" s="33"/>
      <c r="N12" s="33"/>
    </row>
    <row r="13" s="30" customFormat="1" ht="27" customHeight="1" spans="1:14">
      <c r="A13" s="42" t="s">
        <v>1386</v>
      </c>
      <c r="B13" s="41">
        <f t="shared" si="0"/>
        <v>0</v>
      </c>
      <c r="C13" s="48">
        <f t="shared" ref="C13:G13" si="4">SUM(C7:C11)</f>
        <v>0</v>
      </c>
      <c r="D13" s="48">
        <f t="shared" si="4"/>
        <v>0</v>
      </c>
      <c r="E13" s="41">
        <f t="shared" si="1"/>
        <v>0</v>
      </c>
      <c r="F13" s="48">
        <f t="shared" si="4"/>
        <v>0</v>
      </c>
      <c r="G13" s="48">
        <f t="shared" si="4"/>
        <v>0</v>
      </c>
      <c r="H13" s="38" t="s">
        <v>5028</v>
      </c>
      <c r="I13" s="35">
        <f t="shared" ref="I13:I17" si="5">J13+K13</f>
        <v>6</v>
      </c>
      <c r="J13" s="33">
        <f t="shared" ref="J13:N13" si="6">SUM(J7:J11)</f>
        <v>0</v>
      </c>
      <c r="K13" s="33">
        <f t="shared" si="6"/>
        <v>6</v>
      </c>
      <c r="L13" s="33">
        <f t="shared" ref="L13:L17" si="7">M13+N13</f>
        <v>20</v>
      </c>
      <c r="M13" s="33">
        <f t="shared" si="6"/>
        <v>0</v>
      </c>
      <c r="N13" s="33">
        <f t="shared" si="6"/>
        <v>20</v>
      </c>
    </row>
    <row r="14" s="30" customFormat="1" ht="27" customHeight="1" spans="1:14">
      <c r="A14" s="43" t="s">
        <v>1388</v>
      </c>
      <c r="B14" s="41">
        <f t="shared" si="0"/>
        <v>7</v>
      </c>
      <c r="C14" s="40"/>
      <c r="D14" s="40">
        <v>7</v>
      </c>
      <c r="E14" s="41">
        <f t="shared" si="1"/>
        <v>0</v>
      </c>
      <c r="F14" s="40"/>
      <c r="G14" s="40"/>
      <c r="H14" s="36" t="s">
        <v>5029</v>
      </c>
      <c r="I14" s="33">
        <f>J14</f>
        <v>0</v>
      </c>
      <c r="J14" s="33"/>
      <c r="K14" s="33" t="s">
        <v>1390</v>
      </c>
      <c r="L14" s="33">
        <f>M14</f>
        <v>0</v>
      </c>
      <c r="M14" s="33"/>
      <c r="N14" s="33" t="s">
        <v>1390</v>
      </c>
    </row>
    <row r="15" s="30" customFormat="1" ht="27" customHeight="1" spans="1:14">
      <c r="A15" s="43" t="s">
        <v>1391</v>
      </c>
      <c r="B15" s="41">
        <f t="shared" si="0"/>
        <v>25</v>
      </c>
      <c r="C15" s="40"/>
      <c r="D15" s="40">
        <v>25</v>
      </c>
      <c r="E15" s="40">
        <f t="shared" si="1"/>
        <v>22</v>
      </c>
      <c r="F15" s="40"/>
      <c r="G15" s="40">
        <v>22</v>
      </c>
      <c r="H15" s="35" t="s">
        <v>5030</v>
      </c>
      <c r="I15" s="33">
        <f t="shared" si="5"/>
        <v>0</v>
      </c>
      <c r="J15" s="35"/>
      <c r="K15" s="35"/>
      <c r="L15" s="33">
        <f t="shared" si="7"/>
        <v>0</v>
      </c>
      <c r="M15" s="35"/>
      <c r="N15" s="35"/>
    </row>
    <row r="16" s="30" customFormat="1" ht="27" customHeight="1" spans="1:14">
      <c r="A16" s="48"/>
      <c r="B16" s="41">
        <f t="shared" si="0"/>
        <v>0</v>
      </c>
      <c r="C16" s="41"/>
      <c r="D16" s="41"/>
      <c r="E16" s="40">
        <f t="shared" si="1"/>
        <v>0</v>
      </c>
      <c r="F16" s="40"/>
      <c r="G16" s="40"/>
      <c r="H16" s="35" t="s">
        <v>5031</v>
      </c>
      <c r="I16" s="33">
        <f t="shared" si="5"/>
        <v>20</v>
      </c>
      <c r="J16" s="35"/>
      <c r="K16" s="33">
        <v>20</v>
      </c>
      <c r="L16" s="33">
        <f t="shared" si="7"/>
        <v>0</v>
      </c>
      <c r="M16" s="33"/>
      <c r="N16" s="33"/>
    </row>
    <row r="17" s="30" customFormat="1" ht="27" customHeight="1" spans="1:14">
      <c r="A17" s="42" t="s">
        <v>1394</v>
      </c>
      <c r="B17" s="41">
        <f t="shared" si="0"/>
        <v>32</v>
      </c>
      <c r="C17" s="40">
        <f t="shared" ref="C17:G17" si="8">C13+C14+C15</f>
        <v>0</v>
      </c>
      <c r="D17" s="40">
        <f t="shared" si="8"/>
        <v>32</v>
      </c>
      <c r="E17" s="40">
        <f t="shared" si="1"/>
        <v>22</v>
      </c>
      <c r="F17" s="40">
        <f t="shared" si="8"/>
        <v>0</v>
      </c>
      <c r="G17" s="40">
        <f t="shared" si="8"/>
        <v>22</v>
      </c>
      <c r="H17" s="38" t="s">
        <v>5032</v>
      </c>
      <c r="I17" s="33">
        <f t="shared" si="5"/>
        <v>26</v>
      </c>
      <c r="J17" s="33">
        <f>J13+J14+J15+J16</f>
        <v>0</v>
      </c>
      <c r="K17" s="33">
        <f>K13+K15+K16</f>
        <v>26</v>
      </c>
      <c r="L17" s="33">
        <f t="shared" si="7"/>
        <v>20</v>
      </c>
      <c r="M17" s="33">
        <f>M13+M14+M15+M16</f>
        <v>0</v>
      </c>
      <c r="N17" s="33">
        <f>N13+N15+N16</f>
        <v>20</v>
      </c>
    </row>
    <row r="18" spans="1:7">
      <c r="A18" s="45"/>
      <c r="B18" s="45"/>
      <c r="C18" s="45"/>
      <c r="D18" s="45"/>
      <c r="E18" s="45"/>
      <c r="F18" s="45"/>
      <c r="G18" s="45"/>
    </row>
    <row r="19" spans="1:7">
      <c r="A19" s="45"/>
      <c r="B19" s="45"/>
      <c r="C19" s="45"/>
      <c r="D19" s="45"/>
      <c r="E19" s="45"/>
      <c r="F19" s="45"/>
      <c r="G19" s="45"/>
    </row>
  </sheetData>
  <mergeCells count="9">
    <mergeCell ref="A1:N1"/>
    <mergeCell ref="A3:G3"/>
    <mergeCell ref="H3:N3"/>
    <mergeCell ref="B4:D4"/>
    <mergeCell ref="E4:G4"/>
    <mergeCell ref="I4:K4"/>
    <mergeCell ref="L4:N4"/>
    <mergeCell ref="A4:A5"/>
    <mergeCell ref="H4:H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opLeftCell="H1" workbookViewId="0">
      <selection activeCell="V15" sqref="V15"/>
    </sheetView>
  </sheetViews>
  <sheetFormatPr defaultColWidth="9" defaultRowHeight="15.75"/>
  <cols>
    <col min="1" max="1" width="25.25" style="30" hidden="1" customWidth="1"/>
    <col min="2" max="7" width="7.625" style="30" hidden="1" customWidth="1"/>
    <col min="8" max="8" width="29.5" style="30" customWidth="1"/>
    <col min="9" max="14" width="7.625" style="30" customWidth="1"/>
    <col min="15" max="16384" width="9" style="30"/>
  </cols>
  <sheetData>
    <row r="1" customFormat="1" ht="24.95" customHeight="1" spans="1:14">
      <c r="A1" s="31" t="s">
        <v>5033</v>
      </c>
      <c r="B1" s="31"/>
      <c r="C1" s="31"/>
      <c r="D1" s="31"/>
      <c r="E1" s="31"/>
      <c r="F1" s="31"/>
      <c r="G1" s="31"/>
      <c r="H1" s="31"/>
      <c r="I1" s="31"/>
      <c r="J1" s="31"/>
      <c r="K1" s="31"/>
      <c r="L1" s="31"/>
      <c r="M1" s="31"/>
      <c r="N1" s="31"/>
    </row>
    <row r="2" customFormat="1" ht="24" customHeight="1" spans="1:14">
      <c r="A2" s="32"/>
      <c r="B2" s="32"/>
      <c r="C2" s="32"/>
      <c r="D2" s="32"/>
      <c r="E2" s="32"/>
      <c r="F2" s="32"/>
      <c r="N2" s="46" t="s">
        <v>5006</v>
      </c>
    </row>
    <row r="3" s="30" customFormat="1" ht="27" customHeight="1" spans="1:14">
      <c r="A3" s="33" t="s">
        <v>5007</v>
      </c>
      <c r="B3" s="33"/>
      <c r="C3" s="33"/>
      <c r="D3" s="33"/>
      <c r="E3" s="33"/>
      <c r="F3" s="33"/>
      <c r="G3" s="33"/>
      <c r="H3" s="33" t="s">
        <v>5008</v>
      </c>
      <c r="I3" s="33"/>
      <c r="J3" s="33"/>
      <c r="K3" s="33"/>
      <c r="L3" s="33"/>
      <c r="M3" s="33"/>
      <c r="N3" s="33"/>
    </row>
    <row r="4" s="30" customFormat="1" ht="27" customHeight="1" spans="1:14">
      <c r="A4" s="33" t="s">
        <v>5017</v>
      </c>
      <c r="B4" s="708" t="s">
        <v>5018</v>
      </c>
      <c r="C4" s="33"/>
      <c r="D4" s="33"/>
      <c r="E4" s="708" t="s">
        <v>5019</v>
      </c>
      <c r="F4" s="33"/>
      <c r="G4" s="33"/>
      <c r="H4" s="40" t="s">
        <v>5009</v>
      </c>
      <c r="I4" s="707" t="s">
        <v>5010</v>
      </c>
      <c r="J4" s="40"/>
      <c r="K4" s="40"/>
      <c r="L4" s="707" t="s">
        <v>5011</v>
      </c>
      <c r="M4" s="40"/>
      <c r="N4" s="40"/>
    </row>
    <row r="5" s="30" customFormat="1" ht="36.75" customHeight="1" spans="1:14">
      <c r="A5" s="33"/>
      <c r="B5" s="33" t="s">
        <v>4652</v>
      </c>
      <c r="C5" s="33" t="s">
        <v>5020</v>
      </c>
      <c r="D5" s="709" t="s">
        <v>5021</v>
      </c>
      <c r="E5" s="33" t="s">
        <v>4652</v>
      </c>
      <c r="F5" s="33" t="s">
        <v>5020</v>
      </c>
      <c r="G5" s="709" t="s">
        <v>5021</v>
      </c>
      <c r="H5" s="40"/>
      <c r="I5" s="40" t="s">
        <v>5012</v>
      </c>
      <c r="J5" s="40" t="s">
        <v>5013</v>
      </c>
      <c r="K5" s="678" t="s">
        <v>5014</v>
      </c>
      <c r="L5" s="40" t="s">
        <v>5012</v>
      </c>
      <c r="M5" s="40" t="s">
        <v>5013</v>
      </c>
      <c r="N5" s="678" t="s">
        <v>5014</v>
      </c>
    </row>
    <row r="6" s="30" customFormat="1" ht="27" customHeight="1" spans="1:14">
      <c r="A6" s="33" t="s">
        <v>5022</v>
      </c>
      <c r="B6" s="33">
        <v>1</v>
      </c>
      <c r="C6" s="33">
        <v>2</v>
      </c>
      <c r="D6" s="33">
        <v>3</v>
      </c>
      <c r="E6" s="33">
        <v>4</v>
      </c>
      <c r="F6" s="33">
        <v>5</v>
      </c>
      <c r="G6" s="33">
        <v>6</v>
      </c>
      <c r="H6" s="40" t="s">
        <v>5015</v>
      </c>
      <c r="I6" s="40">
        <v>7</v>
      </c>
      <c r="J6" s="40">
        <v>8</v>
      </c>
      <c r="K6" s="40">
        <v>9</v>
      </c>
      <c r="L6" s="40">
        <v>10</v>
      </c>
      <c r="M6" s="40">
        <v>11</v>
      </c>
      <c r="N6" s="40">
        <v>12</v>
      </c>
    </row>
    <row r="7" s="30" customFormat="1" ht="27" customHeight="1" spans="1:14">
      <c r="A7" s="35" t="s">
        <v>5034</v>
      </c>
      <c r="B7" s="35">
        <f t="shared" ref="B7:B17" si="0">SUM(C7:D7)</f>
        <v>0</v>
      </c>
      <c r="C7" s="35"/>
      <c r="D7" s="35"/>
      <c r="E7" s="35">
        <f t="shared" ref="E7:E17" si="1">SUM(F7:G7)</f>
        <v>0</v>
      </c>
      <c r="F7" s="35"/>
      <c r="G7" s="35"/>
      <c r="H7" s="12" t="s">
        <v>1377</v>
      </c>
      <c r="I7" s="41">
        <f t="shared" ref="I7:I11" si="2">J7+K7</f>
        <v>10</v>
      </c>
      <c r="J7" s="41"/>
      <c r="K7" s="41">
        <v>10</v>
      </c>
      <c r="L7" s="41">
        <f t="shared" ref="L7:L11" si="3">M7+N7</f>
        <v>22</v>
      </c>
      <c r="M7" s="41"/>
      <c r="N7" s="40">
        <v>22</v>
      </c>
    </row>
    <row r="8" s="30" customFormat="1" ht="27" customHeight="1" spans="1:14">
      <c r="A8" s="35" t="s">
        <v>5035</v>
      </c>
      <c r="B8" s="35">
        <f t="shared" si="0"/>
        <v>0</v>
      </c>
      <c r="C8" s="35"/>
      <c r="D8" s="35"/>
      <c r="E8" s="35">
        <f t="shared" si="1"/>
        <v>0</v>
      </c>
      <c r="F8" s="35"/>
      <c r="G8" s="35"/>
      <c r="H8" s="41" t="s">
        <v>1379</v>
      </c>
      <c r="I8" s="41">
        <f t="shared" si="2"/>
        <v>0</v>
      </c>
      <c r="J8" s="41"/>
      <c r="K8" s="41"/>
      <c r="L8" s="41">
        <f t="shared" si="3"/>
        <v>0</v>
      </c>
      <c r="M8" s="41"/>
      <c r="N8" s="41"/>
    </row>
    <row r="9" s="30" customFormat="1" ht="27" customHeight="1" spans="1:14">
      <c r="A9" s="35" t="s">
        <v>5036</v>
      </c>
      <c r="B9" s="35">
        <f t="shared" si="0"/>
        <v>0</v>
      </c>
      <c r="C9" s="35"/>
      <c r="D9" s="35"/>
      <c r="E9" s="35">
        <f t="shared" si="1"/>
        <v>0</v>
      </c>
      <c r="F9" s="35"/>
      <c r="G9" s="35"/>
      <c r="H9" s="41" t="s">
        <v>1381</v>
      </c>
      <c r="I9" s="41">
        <f t="shared" si="2"/>
        <v>0</v>
      </c>
      <c r="J9" s="41"/>
      <c r="K9" s="41"/>
      <c r="L9" s="41">
        <f t="shared" si="3"/>
        <v>0</v>
      </c>
      <c r="M9" s="41"/>
      <c r="N9" s="41"/>
    </row>
    <row r="10" s="30" customFormat="1" ht="27" customHeight="1" spans="1:14">
      <c r="A10" s="35" t="s">
        <v>5037</v>
      </c>
      <c r="B10" s="35">
        <f t="shared" si="0"/>
        <v>0</v>
      </c>
      <c r="C10" s="35"/>
      <c r="D10" s="35"/>
      <c r="E10" s="35">
        <f t="shared" si="1"/>
        <v>0</v>
      </c>
      <c r="F10" s="35"/>
      <c r="G10" s="35"/>
      <c r="H10" s="41" t="s">
        <v>1383</v>
      </c>
      <c r="I10" s="41">
        <f t="shared" si="2"/>
        <v>0</v>
      </c>
      <c r="J10" s="41"/>
      <c r="K10" s="41"/>
      <c r="L10" s="41">
        <f t="shared" si="3"/>
        <v>0</v>
      </c>
      <c r="M10" s="41"/>
      <c r="N10" s="41"/>
    </row>
    <row r="11" s="30" customFormat="1" ht="27" customHeight="1" spans="1:14">
      <c r="A11" s="36" t="s">
        <v>5038</v>
      </c>
      <c r="B11" s="35">
        <f t="shared" si="0"/>
        <v>0</v>
      </c>
      <c r="C11" s="33"/>
      <c r="D11" s="33"/>
      <c r="E11" s="35">
        <f t="shared" si="1"/>
        <v>0</v>
      </c>
      <c r="F11" s="33"/>
      <c r="G11" s="35"/>
      <c r="H11" s="41" t="s">
        <v>1385</v>
      </c>
      <c r="I11" s="41">
        <f t="shared" si="2"/>
        <v>0</v>
      </c>
      <c r="J11" s="41"/>
      <c r="K11" s="41"/>
      <c r="L11" s="40">
        <f t="shared" si="3"/>
        <v>0</v>
      </c>
      <c r="M11" s="40"/>
      <c r="N11" s="40"/>
    </row>
    <row r="12" s="30" customFormat="1" ht="27" customHeight="1" spans="1:14">
      <c r="A12" s="33"/>
      <c r="B12" s="35">
        <f t="shared" si="0"/>
        <v>0</v>
      </c>
      <c r="C12" s="37"/>
      <c r="D12" s="37"/>
      <c r="E12" s="35">
        <f t="shared" si="1"/>
        <v>0</v>
      </c>
      <c r="F12" s="37"/>
      <c r="G12" s="37"/>
      <c r="H12" s="41"/>
      <c r="I12" s="41"/>
      <c r="J12" s="41"/>
      <c r="K12" s="41"/>
      <c r="L12" s="40"/>
      <c r="M12" s="40"/>
      <c r="N12" s="40"/>
    </row>
    <row r="13" s="30" customFormat="1" ht="27" customHeight="1" spans="1:14">
      <c r="A13" s="38" t="s">
        <v>5039</v>
      </c>
      <c r="B13" s="35">
        <f t="shared" si="0"/>
        <v>0</v>
      </c>
      <c r="C13" s="39">
        <f t="shared" ref="C13:G13" si="4">SUM(C7:C11)</f>
        <v>0</v>
      </c>
      <c r="D13" s="39">
        <f t="shared" si="4"/>
        <v>0</v>
      </c>
      <c r="E13" s="35">
        <f t="shared" si="1"/>
        <v>0</v>
      </c>
      <c r="F13" s="39">
        <f t="shared" si="4"/>
        <v>0</v>
      </c>
      <c r="G13" s="39">
        <f t="shared" si="4"/>
        <v>0</v>
      </c>
      <c r="H13" s="42" t="s">
        <v>1387</v>
      </c>
      <c r="I13" s="41">
        <f t="shared" ref="I13:I17" si="5">J13+K13</f>
        <v>10</v>
      </c>
      <c r="J13" s="40">
        <f t="shared" ref="J13:N13" si="6">SUM(J7:J11)</f>
        <v>0</v>
      </c>
      <c r="K13" s="40">
        <f t="shared" si="6"/>
        <v>10</v>
      </c>
      <c r="L13" s="40">
        <f t="shared" ref="L13:L17" si="7">M13+N13</f>
        <v>22</v>
      </c>
      <c r="M13" s="40">
        <f t="shared" si="6"/>
        <v>0</v>
      </c>
      <c r="N13" s="40">
        <f t="shared" si="6"/>
        <v>22</v>
      </c>
    </row>
    <row r="14" s="30" customFormat="1" ht="27" customHeight="1" spans="1:14">
      <c r="A14" s="36" t="s">
        <v>5040</v>
      </c>
      <c r="B14" s="35">
        <f t="shared" si="0"/>
        <v>7</v>
      </c>
      <c r="C14" s="33"/>
      <c r="D14" s="33">
        <v>7</v>
      </c>
      <c r="E14" s="35">
        <f t="shared" si="1"/>
        <v>0</v>
      </c>
      <c r="F14" s="33"/>
      <c r="G14" s="33"/>
      <c r="H14" s="43" t="s">
        <v>1389</v>
      </c>
      <c r="I14" s="40">
        <f>J14</f>
        <v>0</v>
      </c>
      <c r="J14" s="40"/>
      <c r="K14" s="40" t="s">
        <v>1390</v>
      </c>
      <c r="L14" s="40">
        <f>M14</f>
        <v>0</v>
      </c>
      <c r="M14" s="40"/>
      <c r="N14" s="40" t="s">
        <v>1390</v>
      </c>
    </row>
    <row r="15" s="30" customFormat="1" ht="27" customHeight="1" spans="1:14">
      <c r="A15" s="36" t="s">
        <v>5041</v>
      </c>
      <c r="B15" s="35">
        <f t="shared" si="0"/>
        <v>19</v>
      </c>
      <c r="C15" s="33"/>
      <c r="D15" s="33">
        <v>19</v>
      </c>
      <c r="E15" s="33">
        <f t="shared" si="1"/>
        <v>20</v>
      </c>
      <c r="F15" s="33"/>
      <c r="G15" s="44">
        <v>20</v>
      </c>
      <c r="H15" s="41" t="s">
        <v>1392</v>
      </c>
      <c r="I15" s="40">
        <f t="shared" si="5"/>
        <v>0</v>
      </c>
      <c r="J15" s="41"/>
      <c r="K15" s="41"/>
      <c r="L15" s="40">
        <f t="shared" si="7"/>
        <v>0</v>
      </c>
      <c r="M15" s="41"/>
      <c r="N15" s="41"/>
    </row>
    <row r="16" s="30" customFormat="1" ht="27" customHeight="1" spans="1:14">
      <c r="A16" s="39"/>
      <c r="B16" s="35">
        <f t="shared" si="0"/>
        <v>0</v>
      </c>
      <c r="C16" s="35"/>
      <c r="D16" s="35"/>
      <c r="E16" s="33">
        <f t="shared" si="1"/>
        <v>0</v>
      </c>
      <c r="F16" s="33"/>
      <c r="G16" s="33"/>
      <c r="H16" s="41" t="s">
        <v>1393</v>
      </c>
      <c r="I16" s="40">
        <f t="shared" si="5"/>
        <v>22</v>
      </c>
      <c r="J16" s="41"/>
      <c r="K16" s="40">
        <v>22</v>
      </c>
      <c r="L16" s="40">
        <f t="shared" si="7"/>
        <v>0</v>
      </c>
      <c r="M16" s="40"/>
      <c r="N16" s="40"/>
    </row>
    <row r="17" s="30" customFormat="1" ht="27" customHeight="1" spans="1:14">
      <c r="A17" s="38" t="s">
        <v>5042</v>
      </c>
      <c r="B17" s="35">
        <f t="shared" si="0"/>
        <v>26</v>
      </c>
      <c r="C17" s="33">
        <f t="shared" ref="C17:G17" si="8">C13+C14+C15</f>
        <v>0</v>
      </c>
      <c r="D17" s="33">
        <f t="shared" si="8"/>
        <v>26</v>
      </c>
      <c r="E17" s="33">
        <f t="shared" si="1"/>
        <v>20</v>
      </c>
      <c r="F17" s="33">
        <f t="shared" si="8"/>
        <v>0</v>
      </c>
      <c r="G17" s="33">
        <f t="shared" si="8"/>
        <v>20</v>
      </c>
      <c r="H17" s="42" t="s">
        <v>1395</v>
      </c>
      <c r="I17" s="40">
        <f t="shared" si="5"/>
        <v>32</v>
      </c>
      <c r="J17" s="40">
        <f>J13+J14+J15+J16</f>
        <v>0</v>
      </c>
      <c r="K17" s="40">
        <f>K13+K15+K16</f>
        <v>32</v>
      </c>
      <c r="L17" s="40">
        <f t="shared" si="7"/>
        <v>22</v>
      </c>
      <c r="M17" s="40">
        <f>M13+M14+M15+M16</f>
        <v>0</v>
      </c>
      <c r="N17" s="40">
        <f>N13+N15+N16</f>
        <v>22</v>
      </c>
    </row>
    <row r="18" spans="8:14">
      <c r="H18" s="45"/>
      <c r="I18" s="45"/>
      <c r="J18" s="45"/>
      <c r="K18" s="45"/>
      <c r="L18" s="45"/>
      <c r="M18" s="45"/>
      <c r="N18" s="45"/>
    </row>
  </sheetData>
  <mergeCells count="9">
    <mergeCell ref="A1:N1"/>
    <mergeCell ref="A3:G3"/>
    <mergeCell ref="H3:N3"/>
    <mergeCell ref="B4:D4"/>
    <mergeCell ref="E4:G4"/>
    <mergeCell ref="I4:K4"/>
    <mergeCell ref="L4:N4"/>
    <mergeCell ref="A4:A5"/>
    <mergeCell ref="H4:H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opLeftCell="H1" workbookViewId="0">
      <selection activeCell="X19" sqref="X19"/>
    </sheetView>
  </sheetViews>
  <sheetFormatPr defaultColWidth="9" defaultRowHeight="15.75"/>
  <cols>
    <col min="1" max="1" width="25.25" style="30" hidden="1" customWidth="1"/>
    <col min="2" max="7" width="7.625" style="30" hidden="1" customWidth="1"/>
    <col min="8" max="8" width="29.5" style="30" customWidth="1"/>
    <col min="9" max="14" width="7.625" style="30" customWidth="1"/>
    <col min="15" max="16384" width="9" style="30"/>
  </cols>
  <sheetData>
    <row r="1" customFormat="1" ht="24.95" customHeight="1" spans="1:14">
      <c r="A1" s="31" t="s">
        <v>5043</v>
      </c>
      <c r="B1" s="31"/>
      <c r="C1" s="31"/>
      <c r="D1" s="31"/>
      <c r="E1" s="31"/>
      <c r="F1" s="31"/>
      <c r="G1" s="31"/>
      <c r="H1" s="31"/>
      <c r="I1" s="31"/>
      <c r="J1" s="31"/>
      <c r="K1" s="31"/>
      <c r="L1" s="31"/>
      <c r="M1" s="31"/>
      <c r="N1" s="31"/>
    </row>
    <row r="2" customFormat="1" ht="24" customHeight="1" spans="1:14">
      <c r="A2" s="32"/>
      <c r="B2" s="32"/>
      <c r="C2" s="32"/>
      <c r="D2" s="32"/>
      <c r="E2" s="32"/>
      <c r="F2" s="32"/>
      <c r="N2" s="46" t="s">
        <v>5006</v>
      </c>
    </row>
    <row r="3" s="30" customFormat="1" ht="27" customHeight="1" spans="1:14">
      <c r="A3" s="33" t="s">
        <v>5007</v>
      </c>
      <c r="B3" s="33"/>
      <c r="C3" s="33"/>
      <c r="D3" s="33"/>
      <c r="E3" s="33"/>
      <c r="F3" s="33"/>
      <c r="G3" s="33"/>
      <c r="H3" s="40" t="s">
        <v>5009</v>
      </c>
      <c r="I3" s="707" t="s">
        <v>5010</v>
      </c>
      <c r="J3" s="40"/>
      <c r="K3" s="40"/>
      <c r="L3" s="707" t="s">
        <v>5011</v>
      </c>
      <c r="M3" s="40"/>
      <c r="N3" s="40"/>
    </row>
    <row r="4" s="30" customFormat="1" ht="27" customHeight="1" spans="1:14">
      <c r="A4" s="33" t="s">
        <v>5017</v>
      </c>
      <c r="B4" s="708" t="s">
        <v>5018</v>
      </c>
      <c r="C4" s="33"/>
      <c r="D4" s="33"/>
      <c r="E4" s="708" t="s">
        <v>5019</v>
      </c>
      <c r="F4" s="33"/>
      <c r="G4" s="33"/>
      <c r="H4" s="40"/>
      <c r="I4" s="40" t="s">
        <v>5012</v>
      </c>
      <c r="J4" s="40" t="s">
        <v>5013</v>
      </c>
      <c r="K4" s="678" t="s">
        <v>5014</v>
      </c>
      <c r="L4" s="40" t="s">
        <v>5012</v>
      </c>
      <c r="M4" s="40" t="s">
        <v>5013</v>
      </c>
      <c r="N4" s="678" t="s">
        <v>5014</v>
      </c>
    </row>
    <row r="5" s="30" customFormat="1" ht="36.75" customHeight="1" spans="1:14">
      <c r="A5" s="33"/>
      <c r="B5" s="33" t="s">
        <v>4652</v>
      </c>
      <c r="C5" s="33" t="s">
        <v>5020</v>
      </c>
      <c r="D5" s="709" t="s">
        <v>5021</v>
      </c>
      <c r="E5" s="33" t="s">
        <v>4652</v>
      </c>
      <c r="F5" s="33" t="s">
        <v>5020</v>
      </c>
      <c r="G5" s="709" t="s">
        <v>5021</v>
      </c>
      <c r="H5" s="40" t="s">
        <v>5015</v>
      </c>
      <c r="I5" s="40">
        <v>7</v>
      </c>
      <c r="J5" s="40">
        <v>8</v>
      </c>
      <c r="K5" s="40">
        <v>9</v>
      </c>
      <c r="L5" s="40">
        <v>10</v>
      </c>
      <c r="M5" s="40">
        <v>11</v>
      </c>
      <c r="N5" s="40">
        <v>12</v>
      </c>
    </row>
    <row r="6" s="30" customFormat="1" ht="27" customHeight="1" spans="1:14">
      <c r="A6" s="33" t="s">
        <v>5022</v>
      </c>
      <c r="B6" s="33">
        <v>1</v>
      </c>
      <c r="C6" s="33">
        <v>2</v>
      </c>
      <c r="D6" s="33">
        <v>3</v>
      </c>
      <c r="E6" s="33">
        <v>4</v>
      </c>
      <c r="F6" s="33">
        <v>5</v>
      </c>
      <c r="G6" s="33">
        <v>6</v>
      </c>
      <c r="H6" s="12" t="s">
        <v>1377</v>
      </c>
      <c r="I6" s="41">
        <f t="shared" ref="I6:I10" si="0">J6+K6</f>
        <v>10</v>
      </c>
      <c r="J6" s="41"/>
      <c r="K6" s="41">
        <v>10</v>
      </c>
      <c r="L6" s="41">
        <f t="shared" ref="L6:L10" si="1">M6+N6</f>
        <v>22</v>
      </c>
      <c r="M6" s="41"/>
      <c r="N6" s="40">
        <v>22</v>
      </c>
    </row>
    <row r="7" s="30" customFormat="1" ht="27" customHeight="1" spans="1:14">
      <c r="A7" s="35" t="s">
        <v>5034</v>
      </c>
      <c r="B7" s="35">
        <f t="shared" ref="B7:B17" si="2">SUM(C7:D7)</f>
        <v>0</v>
      </c>
      <c r="C7" s="35"/>
      <c r="D7" s="35"/>
      <c r="E7" s="35">
        <f t="shared" ref="E7:E17" si="3">SUM(F7:G7)</f>
        <v>0</v>
      </c>
      <c r="F7" s="35"/>
      <c r="G7" s="35"/>
      <c r="H7" s="41" t="s">
        <v>1379</v>
      </c>
      <c r="I7" s="41">
        <f t="shared" si="0"/>
        <v>0</v>
      </c>
      <c r="J7" s="41"/>
      <c r="K7" s="41"/>
      <c r="L7" s="41">
        <f t="shared" si="1"/>
        <v>0</v>
      </c>
      <c r="M7" s="41"/>
      <c r="N7" s="41"/>
    </row>
    <row r="8" s="30" customFormat="1" ht="27" customHeight="1" spans="1:14">
      <c r="A8" s="35" t="s">
        <v>5035</v>
      </c>
      <c r="B8" s="35">
        <f t="shared" si="2"/>
        <v>0</v>
      </c>
      <c r="C8" s="35"/>
      <c r="D8" s="35"/>
      <c r="E8" s="35">
        <f t="shared" si="3"/>
        <v>0</v>
      </c>
      <c r="F8" s="35"/>
      <c r="G8" s="35"/>
      <c r="H8" s="41" t="s">
        <v>1381</v>
      </c>
      <c r="I8" s="41">
        <f t="shared" si="0"/>
        <v>0</v>
      </c>
      <c r="J8" s="41"/>
      <c r="K8" s="41"/>
      <c r="L8" s="41">
        <f t="shared" si="1"/>
        <v>0</v>
      </c>
      <c r="M8" s="41"/>
      <c r="N8" s="41"/>
    </row>
    <row r="9" s="30" customFormat="1" ht="27" customHeight="1" spans="1:14">
      <c r="A9" s="35" t="s">
        <v>5036</v>
      </c>
      <c r="B9" s="35">
        <f t="shared" si="2"/>
        <v>0</v>
      </c>
      <c r="C9" s="35"/>
      <c r="D9" s="35"/>
      <c r="E9" s="35">
        <f t="shared" si="3"/>
        <v>0</v>
      </c>
      <c r="F9" s="35"/>
      <c r="G9" s="35"/>
      <c r="H9" s="41" t="s">
        <v>1383</v>
      </c>
      <c r="I9" s="41">
        <f t="shared" si="0"/>
        <v>0</v>
      </c>
      <c r="J9" s="41"/>
      <c r="K9" s="41"/>
      <c r="L9" s="41">
        <f t="shared" si="1"/>
        <v>0</v>
      </c>
      <c r="M9" s="41"/>
      <c r="N9" s="41"/>
    </row>
    <row r="10" s="30" customFormat="1" ht="27" customHeight="1" spans="1:14">
      <c r="A10" s="35" t="s">
        <v>5037</v>
      </c>
      <c r="B10" s="35">
        <f t="shared" si="2"/>
        <v>0</v>
      </c>
      <c r="C10" s="35"/>
      <c r="D10" s="35"/>
      <c r="E10" s="35">
        <f t="shared" si="3"/>
        <v>0</v>
      </c>
      <c r="F10" s="35"/>
      <c r="G10" s="35"/>
      <c r="H10" s="41" t="s">
        <v>1385</v>
      </c>
      <c r="I10" s="41">
        <f t="shared" si="0"/>
        <v>0</v>
      </c>
      <c r="J10" s="41"/>
      <c r="K10" s="41"/>
      <c r="L10" s="40">
        <f t="shared" si="1"/>
        <v>0</v>
      </c>
      <c r="M10" s="40"/>
      <c r="N10" s="40"/>
    </row>
    <row r="11" s="30" customFormat="1" ht="27" customHeight="1" spans="1:14">
      <c r="A11" s="36" t="s">
        <v>5038</v>
      </c>
      <c r="B11" s="35">
        <f t="shared" si="2"/>
        <v>0</v>
      </c>
      <c r="C11" s="33"/>
      <c r="D11" s="33"/>
      <c r="E11" s="35">
        <f t="shared" si="3"/>
        <v>0</v>
      </c>
      <c r="F11" s="33"/>
      <c r="G11" s="35"/>
      <c r="H11" s="41"/>
      <c r="I11" s="41"/>
      <c r="J11" s="41"/>
      <c r="K11" s="41"/>
      <c r="L11" s="40"/>
      <c r="M11" s="40"/>
      <c r="N11" s="40"/>
    </row>
    <row r="12" s="30" customFormat="1" ht="27" customHeight="1" spans="1:14">
      <c r="A12" s="33"/>
      <c r="B12" s="35">
        <f t="shared" si="2"/>
        <v>0</v>
      </c>
      <c r="C12" s="37"/>
      <c r="D12" s="37"/>
      <c r="E12" s="35">
        <f t="shared" si="3"/>
        <v>0</v>
      </c>
      <c r="F12" s="37"/>
      <c r="G12" s="37"/>
      <c r="H12" s="42" t="s">
        <v>1387</v>
      </c>
      <c r="I12" s="41">
        <f t="shared" ref="I12:I16" si="4">J12+K12</f>
        <v>10</v>
      </c>
      <c r="J12" s="40">
        <f t="shared" ref="J12:N12" si="5">SUM(J6:J10)</f>
        <v>0</v>
      </c>
      <c r="K12" s="40">
        <f t="shared" si="5"/>
        <v>10</v>
      </c>
      <c r="L12" s="40">
        <f t="shared" ref="L12:L16" si="6">M12+N12</f>
        <v>22</v>
      </c>
      <c r="M12" s="40">
        <f t="shared" si="5"/>
        <v>0</v>
      </c>
      <c r="N12" s="40">
        <f t="shared" si="5"/>
        <v>22</v>
      </c>
    </row>
    <row r="13" s="30" customFormat="1" ht="27" customHeight="1" spans="1:14">
      <c r="A13" s="38" t="s">
        <v>5039</v>
      </c>
      <c r="B13" s="35">
        <f t="shared" si="2"/>
        <v>0</v>
      </c>
      <c r="C13" s="39">
        <f t="shared" ref="C13:G13" si="7">SUM(C7:C11)</f>
        <v>0</v>
      </c>
      <c r="D13" s="39">
        <f t="shared" si="7"/>
        <v>0</v>
      </c>
      <c r="E13" s="35">
        <f t="shared" si="3"/>
        <v>0</v>
      </c>
      <c r="F13" s="39">
        <f t="shared" si="7"/>
        <v>0</v>
      </c>
      <c r="G13" s="39">
        <f t="shared" si="7"/>
        <v>0</v>
      </c>
      <c r="H13" s="43" t="s">
        <v>1389</v>
      </c>
      <c r="I13" s="40">
        <f>J13</f>
        <v>0</v>
      </c>
      <c r="J13" s="40"/>
      <c r="K13" s="40" t="s">
        <v>1390</v>
      </c>
      <c r="L13" s="40">
        <f>M13</f>
        <v>0</v>
      </c>
      <c r="M13" s="40"/>
      <c r="N13" s="40" t="s">
        <v>1390</v>
      </c>
    </row>
    <row r="14" s="30" customFormat="1" ht="27" customHeight="1" spans="1:14">
      <c r="A14" s="36" t="s">
        <v>5040</v>
      </c>
      <c r="B14" s="35">
        <f t="shared" si="2"/>
        <v>7</v>
      </c>
      <c r="C14" s="33"/>
      <c r="D14" s="33">
        <v>7</v>
      </c>
      <c r="E14" s="35">
        <f t="shared" si="3"/>
        <v>0</v>
      </c>
      <c r="F14" s="33"/>
      <c r="G14" s="33"/>
      <c r="H14" s="41" t="s">
        <v>1392</v>
      </c>
      <c r="I14" s="40">
        <f t="shared" si="4"/>
        <v>0</v>
      </c>
      <c r="J14" s="41"/>
      <c r="K14" s="41"/>
      <c r="L14" s="40">
        <f t="shared" si="6"/>
        <v>0</v>
      </c>
      <c r="M14" s="41"/>
      <c r="N14" s="41"/>
    </row>
    <row r="15" s="30" customFormat="1" ht="27" customHeight="1" spans="1:14">
      <c r="A15" s="36" t="s">
        <v>5041</v>
      </c>
      <c r="B15" s="35">
        <f t="shared" si="2"/>
        <v>19</v>
      </c>
      <c r="C15" s="33"/>
      <c r="D15" s="33">
        <v>19</v>
      </c>
      <c r="E15" s="33">
        <f t="shared" si="3"/>
        <v>20</v>
      </c>
      <c r="F15" s="33"/>
      <c r="G15" s="44">
        <v>20</v>
      </c>
      <c r="H15" s="41" t="s">
        <v>1393</v>
      </c>
      <c r="I15" s="40">
        <f t="shared" si="4"/>
        <v>22</v>
      </c>
      <c r="J15" s="41"/>
      <c r="K15" s="40">
        <v>22</v>
      </c>
      <c r="L15" s="40">
        <f t="shared" si="6"/>
        <v>0</v>
      </c>
      <c r="M15" s="40"/>
      <c r="N15" s="40"/>
    </row>
    <row r="16" s="30" customFormat="1" ht="27" customHeight="1" spans="1:14">
      <c r="A16" s="39"/>
      <c r="B16" s="35">
        <f t="shared" si="2"/>
        <v>0</v>
      </c>
      <c r="C16" s="35"/>
      <c r="D16" s="35"/>
      <c r="E16" s="33">
        <f t="shared" si="3"/>
        <v>0</v>
      </c>
      <c r="F16" s="33"/>
      <c r="G16" s="33"/>
      <c r="H16" s="42" t="s">
        <v>1395</v>
      </c>
      <c r="I16" s="40">
        <f t="shared" si="4"/>
        <v>32</v>
      </c>
      <c r="J16" s="40">
        <f>J12+J13+J14+J15</f>
        <v>0</v>
      </c>
      <c r="K16" s="40">
        <f>K12+K14+K15</f>
        <v>32</v>
      </c>
      <c r="L16" s="40">
        <f t="shared" si="6"/>
        <v>22</v>
      </c>
      <c r="M16" s="40">
        <f>M12+M13+M14+M15</f>
        <v>0</v>
      </c>
      <c r="N16" s="40">
        <f>N12+N14+N15</f>
        <v>22</v>
      </c>
    </row>
    <row r="17" s="30" customFormat="1" ht="27" customHeight="1" spans="1:14">
      <c r="A17" s="38" t="s">
        <v>5042</v>
      </c>
      <c r="B17" s="35">
        <f t="shared" si="2"/>
        <v>26</v>
      </c>
      <c r="C17" s="33">
        <f t="shared" ref="C17:G17" si="8">C13+C14+C15</f>
        <v>0</v>
      </c>
      <c r="D17" s="33">
        <f t="shared" si="8"/>
        <v>26</v>
      </c>
      <c r="E17" s="33">
        <f t="shared" si="3"/>
        <v>20</v>
      </c>
      <c r="F17" s="33">
        <f t="shared" si="8"/>
        <v>0</v>
      </c>
      <c r="G17" s="33">
        <f t="shared" si="8"/>
        <v>20</v>
      </c>
      <c r="H17" s="45"/>
      <c r="I17" s="45"/>
      <c r="J17" s="45"/>
      <c r="K17" s="45"/>
      <c r="L17" s="45"/>
      <c r="M17" s="45"/>
      <c r="N17" s="45"/>
    </row>
  </sheetData>
  <mergeCells count="8">
    <mergeCell ref="A1:N1"/>
    <mergeCell ref="A3:G3"/>
    <mergeCell ref="I3:K3"/>
    <mergeCell ref="L3:N3"/>
    <mergeCell ref="B4:D4"/>
    <mergeCell ref="E4:G4"/>
    <mergeCell ref="A4:A5"/>
    <mergeCell ref="H3:H4"/>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tabSelected="1" zoomScaleSheetLayoutView="60" workbookViewId="0">
      <selection activeCell="J14" sqref="J14"/>
    </sheetView>
  </sheetViews>
  <sheetFormatPr defaultColWidth="9" defaultRowHeight="12.75"/>
  <cols>
    <col min="1" max="1" width="7.25" style="4" customWidth="1"/>
    <col min="2" max="2" width="16.5" style="5" customWidth="1"/>
    <col min="3" max="3" width="9.875" style="5" customWidth="1"/>
    <col min="4" max="4" width="12" style="5" customWidth="1"/>
    <col min="5" max="6" width="9.875" style="4" customWidth="1"/>
    <col min="7" max="8" width="10.125" style="4" customWidth="1"/>
    <col min="9" max="9" width="9.625" style="4" customWidth="1"/>
    <col min="10" max="10" width="9.375" style="4" customWidth="1"/>
    <col min="11" max="11" width="33.5" style="4" customWidth="1"/>
    <col min="12" max="12" width="9" style="1"/>
    <col min="13" max="13" width="16.25" style="1" customWidth="1"/>
    <col min="14" max="14" width="30" style="1" hidden="1" customWidth="1"/>
    <col min="15" max="15" width="9" style="1" hidden="1" customWidth="1"/>
    <col min="16" max="16384" width="9" style="1"/>
  </cols>
  <sheetData>
    <row r="1" s="1" customFormat="1" ht="33.75" customHeight="1" spans="1:11">
      <c r="A1" s="710" t="s">
        <v>5044</v>
      </c>
      <c r="B1" s="6"/>
      <c r="C1" s="6"/>
      <c r="D1" s="6"/>
      <c r="E1" s="6"/>
      <c r="F1" s="6"/>
      <c r="G1" s="6"/>
      <c r="H1" s="6"/>
      <c r="I1" s="6"/>
      <c r="J1" s="6"/>
      <c r="K1" s="6"/>
    </row>
    <row r="2" s="1" customFormat="1" ht="18" customHeight="1" spans="1:11">
      <c r="A2" s="7"/>
      <c r="B2" s="7"/>
      <c r="C2" s="8"/>
      <c r="D2" s="8"/>
      <c r="E2" s="15"/>
      <c r="F2" s="15"/>
      <c r="G2" s="15"/>
      <c r="H2" s="15"/>
      <c r="I2" s="15"/>
      <c r="J2" s="15"/>
      <c r="K2" s="22" t="s">
        <v>4533</v>
      </c>
    </row>
    <row r="3" s="2" customFormat="1" ht="30" customHeight="1" spans="1:11">
      <c r="A3" s="9"/>
      <c r="B3" s="9" t="s">
        <v>1398</v>
      </c>
      <c r="C3" s="678" t="s">
        <v>1400</v>
      </c>
      <c r="D3" s="9"/>
      <c r="E3" s="678" t="s">
        <v>5010</v>
      </c>
      <c r="F3" s="9"/>
      <c r="G3" s="711" t="s">
        <v>5011</v>
      </c>
      <c r="H3" s="17"/>
      <c r="I3" s="17"/>
      <c r="J3" s="23"/>
      <c r="K3" s="24" t="s">
        <v>1402</v>
      </c>
    </row>
    <row r="4" s="3" customFormat="1" ht="55.5" customHeight="1" spans="1:11">
      <c r="A4" s="9"/>
      <c r="B4" s="9"/>
      <c r="C4" s="9" t="s">
        <v>5012</v>
      </c>
      <c r="D4" s="9" t="s">
        <v>1404</v>
      </c>
      <c r="E4" s="9" t="s">
        <v>5012</v>
      </c>
      <c r="F4" s="9" t="s">
        <v>1404</v>
      </c>
      <c r="G4" s="9" t="s">
        <v>5012</v>
      </c>
      <c r="H4" s="9" t="s">
        <v>5045</v>
      </c>
      <c r="I4" s="9" t="s">
        <v>1404</v>
      </c>
      <c r="J4" s="9" t="s">
        <v>5045</v>
      </c>
      <c r="K4" s="25"/>
    </row>
    <row r="5" s="3" customFormat="1" ht="92" customHeight="1" spans="1:15">
      <c r="A5" s="9"/>
      <c r="B5" s="9" t="s">
        <v>5012</v>
      </c>
      <c r="C5" s="10">
        <f t="shared" ref="C5:G5" si="0">SUM(C6:C9)</f>
        <v>739</v>
      </c>
      <c r="D5" s="10">
        <f t="shared" si="0"/>
        <v>731</v>
      </c>
      <c r="E5" s="10">
        <f t="shared" si="0"/>
        <v>525</v>
      </c>
      <c r="F5" s="10">
        <f t="shared" si="0"/>
        <v>525</v>
      </c>
      <c r="G5" s="10">
        <f t="shared" si="0"/>
        <v>782</v>
      </c>
      <c r="H5" s="18">
        <f t="shared" ref="H5:H9" si="1">(G5-C5)/C5</f>
        <v>0.0582</v>
      </c>
      <c r="I5" s="10">
        <f>SUM(I6:I9)</f>
        <v>775</v>
      </c>
      <c r="J5" s="18">
        <f t="shared" ref="J5:J9" si="2">(I5-D5)/D5</f>
        <v>0.0602</v>
      </c>
      <c r="K5" s="26" t="s">
        <v>5046</v>
      </c>
      <c r="N5" s="712" t="s">
        <v>5047</v>
      </c>
      <c r="O5" s="3">
        <v>2710100</v>
      </c>
    </row>
    <row r="6" s="2" customFormat="1" ht="44.25" customHeight="1" spans="1:15">
      <c r="A6" s="9">
        <v>1</v>
      </c>
      <c r="B6" s="713" t="s">
        <v>5048</v>
      </c>
      <c r="C6" s="12"/>
      <c r="D6" s="12"/>
      <c r="E6" s="19">
        <v>6</v>
      </c>
      <c r="F6" s="19">
        <v>6</v>
      </c>
      <c r="G6" s="12"/>
      <c r="H6" s="20"/>
      <c r="I6" s="12"/>
      <c r="J6" s="20"/>
      <c r="K6" s="26"/>
      <c r="L6" s="2"/>
      <c r="M6" s="2"/>
      <c r="N6" s="2" t="s">
        <v>5049</v>
      </c>
      <c r="O6" s="2">
        <v>182700</v>
      </c>
    </row>
    <row r="7" s="2" customFormat="1" ht="40.5" customHeight="1" spans="1:15">
      <c r="A7" s="9">
        <v>2</v>
      </c>
      <c r="B7" s="11" t="s">
        <v>5050</v>
      </c>
      <c r="C7" s="12">
        <v>226</v>
      </c>
      <c r="D7" s="12">
        <v>218</v>
      </c>
      <c r="E7" s="12">
        <v>98</v>
      </c>
      <c r="F7" s="12">
        <v>98</v>
      </c>
      <c r="G7" s="12">
        <v>225</v>
      </c>
      <c r="H7" s="18">
        <f t="shared" si="1"/>
        <v>-0.0044</v>
      </c>
      <c r="I7" s="12">
        <v>218</v>
      </c>
      <c r="J7" s="18">
        <f t="shared" si="2"/>
        <v>0</v>
      </c>
      <c r="K7" s="26"/>
      <c r="L7" s="2"/>
      <c r="M7" s="28"/>
      <c r="N7" s="2" t="s">
        <v>5051</v>
      </c>
      <c r="O7" s="2">
        <v>542780</v>
      </c>
    </row>
    <row r="8" s="2" customFormat="1" ht="40.5" customHeight="1" spans="1:15">
      <c r="A8" s="9">
        <v>3</v>
      </c>
      <c r="B8" s="713" t="s">
        <v>5052</v>
      </c>
      <c r="C8" s="12"/>
      <c r="D8" s="12"/>
      <c r="E8" s="12">
        <v>48</v>
      </c>
      <c r="F8" s="12">
        <v>48</v>
      </c>
      <c r="G8" s="12">
        <v>44</v>
      </c>
      <c r="H8" s="18"/>
      <c r="I8" s="12">
        <v>44</v>
      </c>
      <c r="J8" s="18"/>
      <c r="K8" s="26" t="s">
        <v>5053</v>
      </c>
      <c r="N8" s="714" t="s">
        <v>5054</v>
      </c>
      <c r="O8" s="2">
        <v>101500</v>
      </c>
    </row>
    <row r="9" s="2" customFormat="1" ht="40.5" customHeight="1" spans="1:15">
      <c r="A9" s="9">
        <v>4</v>
      </c>
      <c r="B9" s="11" t="s">
        <v>5055</v>
      </c>
      <c r="C9" s="12">
        <v>513</v>
      </c>
      <c r="D9" s="12">
        <v>513</v>
      </c>
      <c r="E9" s="12">
        <v>373</v>
      </c>
      <c r="F9" s="12">
        <v>373</v>
      </c>
      <c r="G9" s="12">
        <v>513</v>
      </c>
      <c r="H9" s="18">
        <f t="shared" si="1"/>
        <v>0</v>
      </c>
      <c r="I9" s="12">
        <v>513</v>
      </c>
      <c r="J9" s="18">
        <f t="shared" si="2"/>
        <v>0</v>
      </c>
      <c r="K9" s="26"/>
      <c r="L9" s="2"/>
      <c r="M9" s="2"/>
      <c r="O9" s="2">
        <f>SUM(O5:O8)</f>
        <v>3537080</v>
      </c>
    </row>
    <row r="10" s="2" customFormat="1" ht="22.5" customHeight="1" spans="1:11">
      <c r="A10" s="13"/>
      <c r="B10" s="14"/>
      <c r="C10" s="14"/>
      <c r="D10" s="14"/>
      <c r="E10" s="21"/>
      <c r="F10" s="13"/>
      <c r="G10" s="13"/>
      <c r="H10" s="13"/>
      <c r="I10" s="27"/>
      <c r="J10" s="21"/>
      <c r="K10" s="13"/>
    </row>
    <row r="11" ht="13.35" customHeight="1"/>
    <row r="12" ht="13.3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sheetData>
  <mergeCells count="8">
    <mergeCell ref="A1:K1"/>
    <mergeCell ref="A2:B2"/>
    <mergeCell ref="C3:D3"/>
    <mergeCell ref="E3:F3"/>
    <mergeCell ref="G3:J3"/>
    <mergeCell ref="A3:A4"/>
    <mergeCell ref="B3:B4"/>
    <mergeCell ref="K3:K4"/>
  </mergeCells>
  <printOptions horizontalCentered="1" verticalCentered="1"/>
  <pageMargins left="0.708661417322835" right="0.708661417322835" top="0.748031496062992" bottom="0.748031496062992" header="0.31496062992126" footer="0.31496062992126"/>
  <pageSetup paperSize="9" scale="89"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1"/>
  <sheetViews>
    <sheetView showZeros="0" zoomScaleSheetLayoutView="60" workbookViewId="0">
      <pane xSplit="1" ySplit="3" topLeftCell="B122" activePane="bottomRight" state="frozen"/>
      <selection/>
      <selection pane="topRight"/>
      <selection pane="bottomLeft"/>
      <selection pane="bottomRight" activeCell="H135" sqref="H135"/>
    </sheetView>
  </sheetViews>
  <sheetFormatPr defaultColWidth="9" defaultRowHeight="15.75"/>
  <cols>
    <col min="1" max="1" width="30.875" style="269" customWidth="1"/>
    <col min="2" max="2" width="11.25" style="269" customWidth="1"/>
    <col min="3" max="3" width="10.75" style="269" customWidth="1"/>
    <col min="4" max="4" width="10.5" style="269" customWidth="1"/>
    <col min="5" max="5" width="10.625" style="269" customWidth="1"/>
    <col min="6" max="7" width="10.375" style="269" customWidth="1"/>
    <col min="8" max="8" width="10.625" style="269" customWidth="1"/>
    <col min="9" max="16384" width="9" style="269"/>
  </cols>
  <sheetData>
    <row r="1" s="269" customFormat="1" ht="27" customHeight="1" spans="1:7">
      <c r="A1" s="655" t="s">
        <v>250</v>
      </c>
      <c r="B1" s="275"/>
      <c r="C1" s="275"/>
      <c r="D1" s="275"/>
      <c r="E1" s="275"/>
      <c r="F1" s="275"/>
      <c r="G1" s="275"/>
    </row>
    <row r="2" s="269" customFormat="1" ht="27" customHeight="1" spans="6:6">
      <c r="F2" s="591" t="s">
        <v>251</v>
      </c>
    </row>
    <row r="3" s="277" customFormat="1" ht="36" customHeight="1" spans="1:7">
      <c r="A3" s="42" t="s">
        <v>89</v>
      </c>
      <c r="B3" s="656" t="s">
        <v>90</v>
      </c>
      <c r="C3" s="656" t="s">
        <v>252</v>
      </c>
      <c r="D3" s="656" t="s">
        <v>253</v>
      </c>
      <c r="E3" s="656" t="s">
        <v>254</v>
      </c>
      <c r="F3" s="147" t="s">
        <v>255</v>
      </c>
      <c r="G3" s="656" t="s">
        <v>256</v>
      </c>
    </row>
    <row r="4" s="579" customFormat="1" ht="20.1" customHeight="1" spans="1:7">
      <c r="A4" s="583" t="s">
        <v>257</v>
      </c>
      <c r="B4" s="534">
        <f>SUM(B5:B33)</f>
        <v>20055</v>
      </c>
      <c r="C4" s="534">
        <f>SUM(C5:C33)</f>
        <v>23179</v>
      </c>
      <c r="D4" s="534">
        <f>SUM(D5:D33)</f>
        <v>20940</v>
      </c>
      <c r="E4" s="534">
        <f>SUM(E5:E33)</f>
        <v>22455</v>
      </c>
      <c r="F4" s="592">
        <f t="shared" ref="F4:F35" si="0">IF(B4=0,,SUM(E4-B4)/B4*100)</f>
        <v>11.97</v>
      </c>
      <c r="G4" s="592">
        <f t="shared" ref="G4:G12" si="1">E4/D4*100</f>
        <v>107.23</v>
      </c>
    </row>
    <row r="5" s="579" customFormat="1" ht="20.1" customHeight="1" spans="1:7">
      <c r="A5" s="537" t="s">
        <v>258</v>
      </c>
      <c r="B5" s="232">
        <v>640</v>
      </c>
      <c r="C5" s="540">
        <v>891</v>
      </c>
      <c r="D5" s="584">
        <v>876</v>
      </c>
      <c r="E5" s="232">
        <v>670</v>
      </c>
      <c r="F5" s="593">
        <f t="shared" si="0"/>
        <v>4.69</v>
      </c>
      <c r="G5" s="593">
        <f t="shared" si="1"/>
        <v>76.48</v>
      </c>
    </row>
    <row r="6" s="579" customFormat="1" ht="20.1" customHeight="1" spans="1:7">
      <c r="A6" s="537" t="s">
        <v>259</v>
      </c>
      <c r="B6" s="232">
        <v>290</v>
      </c>
      <c r="C6" s="540">
        <v>303</v>
      </c>
      <c r="D6" s="584">
        <v>335</v>
      </c>
      <c r="E6" s="232">
        <v>330</v>
      </c>
      <c r="F6" s="593">
        <f t="shared" si="0"/>
        <v>13.79</v>
      </c>
      <c r="G6" s="593">
        <f t="shared" si="1"/>
        <v>98.51</v>
      </c>
    </row>
    <row r="7" s="579" customFormat="1" ht="20.1" customHeight="1" spans="1:7">
      <c r="A7" s="537" t="s">
        <v>260</v>
      </c>
      <c r="B7" s="232">
        <v>7979</v>
      </c>
      <c r="C7" s="540">
        <v>10041</v>
      </c>
      <c r="D7" s="584">
        <v>9243</v>
      </c>
      <c r="E7" s="232">
        <v>10503</v>
      </c>
      <c r="F7" s="593">
        <f t="shared" si="0"/>
        <v>31.63</v>
      </c>
      <c r="G7" s="593">
        <f t="shared" si="1"/>
        <v>113.63</v>
      </c>
    </row>
    <row r="8" s="579" customFormat="1" ht="20.1" customHeight="1" spans="1:7">
      <c r="A8" s="537" t="s">
        <v>261</v>
      </c>
      <c r="B8" s="232">
        <v>375</v>
      </c>
      <c r="C8" s="540">
        <v>400</v>
      </c>
      <c r="D8" s="584">
        <v>707</v>
      </c>
      <c r="E8" s="232">
        <v>697</v>
      </c>
      <c r="F8" s="593">
        <f t="shared" si="0"/>
        <v>85.87</v>
      </c>
      <c r="G8" s="593">
        <f t="shared" si="1"/>
        <v>98.59</v>
      </c>
    </row>
    <row r="9" s="579" customFormat="1" ht="20.1" customHeight="1" spans="1:7">
      <c r="A9" s="538" t="s">
        <v>262</v>
      </c>
      <c r="B9" s="232">
        <v>385</v>
      </c>
      <c r="C9" s="540">
        <v>344</v>
      </c>
      <c r="D9" s="584">
        <v>479</v>
      </c>
      <c r="E9" s="232">
        <v>409</v>
      </c>
      <c r="F9" s="593">
        <f t="shared" si="0"/>
        <v>6.23</v>
      </c>
      <c r="G9" s="593">
        <f t="shared" si="1"/>
        <v>85.39</v>
      </c>
    </row>
    <row r="10" s="579" customFormat="1" ht="20.1" customHeight="1" spans="1:7">
      <c r="A10" s="537" t="s">
        <v>263</v>
      </c>
      <c r="B10" s="232">
        <v>1260</v>
      </c>
      <c r="C10" s="540">
        <v>858</v>
      </c>
      <c r="D10" s="584">
        <v>877</v>
      </c>
      <c r="E10" s="232">
        <v>724</v>
      </c>
      <c r="F10" s="593">
        <f t="shared" si="0"/>
        <v>-42.54</v>
      </c>
      <c r="G10" s="593">
        <f t="shared" si="1"/>
        <v>82.55</v>
      </c>
    </row>
    <row r="11" s="579" customFormat="1" ht="20.1" customHeight="1" spans="1:7">
      <c r="A11" s="537" t="s">
        <v>264</v>
      </c>
      <c r="B11" s="232">
        <v>668</v>
      </c>
      <c r="C11" s="540">
        <v>417</v>
      </c>
      <c r="D11" s="584">
        <v>508</v>
      </c>
      <c r="E11" s="232">
        <v>371</v>
      </c>
      <c r="F11" s="593">
        <f t="shared" si="0"/>
        <v>-44.46</v>
      </c>
      <c r="G11" s="593">
        <f t="shared" si="1"/>
        <v>73.03</v>
      </c>
    </row>
    <row r="12" s="579" customFormat="1" ht="20.1" customHeight="1" spans="1:7">
      <c r="A12" s="538" t="s">
        <v>265</v>
      </c>
      <c r="B12" s="232">
        <v>216</v>
      </c>
      <c r="C12" s="540">
        <v>215</v>
      </c>
      <c r="D12" s="584">
        <v>236</v>
      </c>
      <c r="E12" s="232">
        <v>225</v>
      </c>
      <c r="F12" s="593">
        <f t="shared" si="0"/>
        <v>4.17</v>
      </c>
      <c r="G12" s="593">
        <f t="shared" si="1"/>
        <v>95.34</v>
      </c>
    </row>
    <row r="13" s="579" customFormat="1" ht="20.1" customHeight="1" spans="1:7">
      <c r="A13" s="537" t="s">
        <v>266</v>
      </c>
      <c r="B13" s="232"/>
      <c r="C13" s="540">
        <v>0</v>
      </c>
      <c r="D13" s="584">
        <v>0</v>
      </c>
      <c r="E13" s="232"/>
      <c r="F13" s="593">
        <f t="shared" si="0"/>
        <v>0</v>
      </c>
      <c r="G13" s="593"/>
    </row>
    <row r="14" s="579" customFormat="1" ht="20.1" customHeight="1" spans="1:7">
      <c r="A14" s="539" t="s">
        <v>267</v>
      </c>
      <c r="B14" s="232">
        <v>1513</v>
      </c>
      <c r="C14" s="540">
        <v>1505</v>
      </c>
      <c r="D14" s="584">
        <v>1756</v>
      </c>
      <c r="E14" s="232">
        <v>1790</v>
      </c>
      <c r="F14" s="593">
        <f t="shared" si="0"/>
        <v>18.31</v>
      </c>
      <c r="G14" s="593">
        <f t="shared" ref="G14:G17" si="2">E14/D14*100</f>
        <v>101.94</v>
      </c>
    </row>
    <row r="15" s="579" customFormat="1" ht="20.1" customHeight="1" spans="1:7">
      <c r="A15" s="539" t="s">
        <v>268</v>
      </c>
      <c r="B15" s="232">
        <v>117</v>
      </c>
      <c r="C15" s="540">
        <v>127</v>
      </c>
      <c r="D15" s="584">
        <v>135</v>
      </c>
      <c r="E15" s="232">
        <v>139</v>
      </c>
      <c r="F15" s="593">
        <f t="shared" si="0"/>
        <v>18.8</v>
      </c>
      <c r="G15" s="593">
        <f t="shared" si="2"/>
        <v>102.96</v>
      </c>
    </row>
    <row r="16" s="579" customFormat="1" ht="20.1" customHeight="1" spans="1:7">
      <c r="A16" s="538" t="s">
        <v>269</v>
      </c>
      <c r="B16" s="232"/>
      <c r="C16" s="540">
        <v>0</v>
      </c>
      <c r="D16" s="584">
        <v>0</v>
      </c>
      <c r="E16" s="232"/>
      <c r="F16" s="593">
        <f t="shared" si="0"/>
        <v>0</v>
      </c>
      <c r="G16" s="593"/>
    </row>
    <row r="17" s="579" customFormat="1" ht="20.1" customHeight="1" spans="1:7">
      <c r="A17" s="537" t="s">
        <v>270</v>
      </c>
      <c r="B17" s="232">
        <v>127</v>
      </c>
      <c r="C17" s="540">
        <v>101</v>
      </c>
      <c r="D17" s="584">
        <v>264</v>
      </c>
      <c r="E17" s="232">
        <v>165</v>
      </c>
      <c r="F17" s="593">
        <f t="shared" si="0"/>
        <v>29.92</v>
      </c>
      <c r="G17" s="593">
        <f t="shared" si="2"/>
        <v>62.5</v>
      </c>
    </row>
    <row r="18" s="579" customFormat="1" ht="20.1" customHeight="1" spans="1:7">
      <c r="A18" s="537" t="s">
        <v>271</v>
      </c>
      <c r="B18" s="232"/>
      <c r="C18" s="540">
        <v>0</v>
      </c>
      <c r="D18" s="584">
        <v>0</v>
      </c>
      <c r="E18" s="232"/>
      <c r="F18" s="593">
        <f t="shared" si="0"/>
        <v>0</v>
      </c>
      <c r="G18" s="593"/>
    </row>
    <row r="19" s="579" customFormat="1" ht="20.1" customHeight="1" spans="1:7">
      <c r="A19" s="538" t="s">
        <v>272</v>
      </c>
      <c r="B19" s="232">
        <v>90</v>
      </c>
      <c r="C19" s="540">
        <v>93</v>
      </c>
      <c r="D19" s="584">
        <v>98</v>
      </c>
      <c r="E19" s="232">
        <v>105</v>
      </c>
      <c r="F19" s="593">
        <f t="shared" si="0"/>
        <v>16.67</v>
      </c>
      <c r="G19" s="593"/>
    </row>
    <row r="20" s="579" customFormat="1" ht="20.1" customHeight="1" spans="1:7">
      <c r="A20" s="538" t="s">
        <v>273</v>
      </c>
      <c r="B20" s="232">
        <v>43</v>
      </c>
      <c r="C20" s="540">
        <v>42</v>
      </c>
      <c r="D20" s="584">
        <v>44</v>
      </c>
      <c r="E20" s="232">
        <v>44</v>
      </c>
      <c r="F20" s="593">
        <f t="shared" si="0"/>
        <v>2.33</v>
      </c>
      <c r="G20" s="593"/>
    </row>
    <row r="21" s="579" customFormat="1" ht="20.1" customHeight="1" spans="1:7">
      <c r="A21" s="538" t="s">
        <v>274</v>
      </c>
      <c r="B21" s="232">
        <v>668</v>
      </c>
      <c r="C21" s="540">
        <v>653</v>
      </c>
      <c r="D21" s="584">
        <v>532</v>
      </c>
      <c r="E21" s="232">
        <v>600</v>
      </c>
      <c r="F21" s="593">
        <f t="shared" si="0"/>
        <v>-10.18</v>
      </c>
      <c r="G21" s="593">
        <f t="shared" ref="G21:G24" si="3">E21/D21*100</f>
        <v>112.78</v>
      </c>
    </row>
    <row r="22" s="579" customFormat="1" ht="20.1" customHeight="1" spans="1:7">
      <c r="A22" s="538" t="s">
        <v>275</v>
      </c>
      <c r="B22" s="232">
        <v>564</v>
      </c>
      <c r="C22" s="540">
        <v>419</v>
      </c>
      <c r="D22" s="584">
        <v>643</v>
      </c>
      <c r="E22" s="232">
        <v>635</v>
      </c>
      <c r="F22" s="593">
        <f t="shared" si="0"/>
        <v>12.59</v>
      </c>
      <c r="G22" s="593">
        <f t="shared" si="3"/>
        <v>98.76</v>
      </c>
    </row>
    <row r="23" s="579" customFormat="1" ht="20.1" customHeight="1" spans="1:7">
      <c r="A23" s="538" t="s">
        <v>276</v>
      </c>
      <c r="B23" s="232">
        <v>954</v>
      </c>
      <c r="C23" s="540">
        <v>1955</v>
      </c>
      <c r="D23" s="584">
        <v>948</v>
      </c>
      <c r="E23" s="232">
        <v>1043</v>
      </c>
      <c r="F23" s="593">
        <f t="shared" si="0"/>
        <v>9.33</v>
      </c>
      <c r="G23" s="593"/>
    </row>
    <row r="24" s="579" customFormat="1" ht="20.1" customHeight="1" spans="1:7">
      <c r="A24" s="538" t="s">
        <v>277</v>
      </c>
      <c r="B24" s="232">
        <v>195</v>
      </c>
      <c r="C24" s="540">
        <v>156</v>
      </c>
      <c r="D24" s="584">
        <v>389</v>
      </c>
      <c r="E24" s="232">
        <v>264</v>
      </c>
      <c r="F24" s="593">
        <f t="shared" si="0"/>
        <v>35.38</v>
      </c>
      <c r="G24" s="593">
        <f t="shared" si="3"/>
        <v>67.87</v>
      </c>
    </row>
    <row r="25" s="579" customFormat="1" ht="20.1" customHeight="1" spans="1:7">
      <c r="A25" s="538" t="s">
        <v>278</v>
      </c>
      <c r="B25" s="232">
        <v>256</v>
      </c>
      <c r="C25" s="540">
        <v>251</v>
      </c>
      <c r="D25" s="584">
        <v>333</v>
      </c>
      <c r="E25" s="232">
        <v>263</v>
      </c>
      <c r="F25" s="593">
        <f t="shared" si="0"/>
        <v>2.73</v>
      </c>
      <c r="G25" s="593"/>
    </row>
    <row r="26" s="579" customFormat="1" ht="20.1" customHeight="1" spans="1:7">
      <c r="A26" s="538" t="s">
        <v>279</v>
      </c>
      <c r="B26" s="232"/>
      <c r="C26" s="585">
        <v>0</v>
      </c>
      <c r="D26" s="585">
        <v>0</v>
      </c>
      <c r="E26" s="232"/>
      <c r="F26" s="593">
        <f t="shared" si="0"/>
        <v>0</v>
      </c>
      <c r="G26" s="593"/>
    </row>
    <row r="27" s="579" customFormat="1" ht="20.1" customHeight="1" spans="1:7">
      <c r="A27" s="538" t="s">
        <v>280</v>
      </c>
      <c r="B27" s="232">
        <v>427</v>
      </c>
      <c r="C27" s="586">
        <v>447</v>
      </c>
      <c r="D27" s="585">
        <v>407</v>
      </c>
      <c r="E27" s="232">
        <v>482</v>
      </c>
      <c r="F27" s="593">
        <f t="shared" si="0"/>
        <v>12.88</v>
      </c>
      <c r="G27" s="593">
        <f t="shared" ref="G27:G31" si="4">E27/D27*100</f>
        <v>118.43</v>
      </c>
    </row>
    <row r="28" s="579" customFormat="1" ht="20.1" customHeight="1" spans="1:7">
      <c r="A28" s="538" t="s">
        <v>281</v>
      </c>
      <c r="B28" s="232"/>
      <c r="C28" s="585">
        <v>0</v>
      </c>
      <c r="D28" s="585">
        <v>0</v>
      </c>
      <c r="E28" s="232"/>
      <c r="F28" s="593">
        <f t="shared" si="0"/>
        <v>0</v>
      </c>
      <c r="G28" s="593"/>
    </row>
    <row r="29" s="579" customFormat="1" ht="20.1" customHeight="1" spans="1:7">
      <c r="A29" s="538" t="s">
        <v>282</v>
      </c>
      <c r="B29" s="232">
        <v>1544</v>
      </c>
      <c r="C29" s="540">
        <v>1414</v>
      </c>
      <c r="D29" s="584">
        <v>1546</v>
      </c>
      <c r="E29" s="232">
        <v>1654</v>
      </c>
      <c r="F29" s="593">
        <f t="shared" si="0"/>
        <v>7.12</v>
      </c>
      <c r="G29" s="593">
        <f t="shared" si="4"/>
        <v>106.99</v>
      </c>
    </row>
    <row r="30" s="579" customFormat="1" ht="20.1" customHeight="1" spans="1:7">
      <c r="A30" s="538" t="s">
        <v>283</v>
      </c>
      <c r="B30" s="232">
        <v>24</v>
      </c>
      <c r="C30" s="540">
        <v>132</v>
      </c>
      <c r="D30" s="584">
        <v>170</v>
      </c>
      <c r="E30" s="232">
        <v>151</v>
      </c>
      <c r="F30" s="593">
        <f t="shared" si="0"/>
        <v>529.17</v>
      </c>
      <c r="G30" s="593">
        <f t="shared" si="4"/>
        <v>88.82</v>
      </c>
    </row>
    <row r="31" s="579" customFormat="1" ht="20.1" customHeight="1" spans="1:7">
      <c r="A31" s="538" t="s">
        <v>284</v>
      </c>
      <c r="B31" s="232">
        <v>151</v>
      </c>
      <c r="C31" s="540">
        <v>163</v>
      </c>
      <c r="D31" s="584">
        <v>209</v>
      </c>
      <c r="E31" s="232">
        <v>177</v>
      </c>
      <c r="F31" s="593">
        <f t="shared" si="0"/>
        <v>17.22</v>
      </c>
      <c r="G31" s="593">
        <f t="shared" si="4"/>
        <v>84.69</v>
      </c>
    </row>
    <row r="32" s="579" customFormat="1" ht="20.1" customHeight="1" spans="1:7">
      <c r="A32" s="538" t="s">
        <v>285</v>
      </c>
      <c r="B32" s="232"/>
      <c r="C32" s="540">
        <v>0</v>
      </c>
      <c r="D32" s="584">
        <v>0</v>
      </c>
      <c r="E32" s="232"/>
      <c r="F32" s="593">
        <f t="shared" si="0"/>
        <v>0</v>
      </c>
      <c r="G32" s="593"/>
    </row>
    <row r="33" s="579" customFormat="1" ht="20.1" customHeight="1" spans="1:7">
      <c r="A33" s="538" t="s">
        <v>286</v>
      </c>
      <c r="B33" s="232">
        <v>1569</v>
      </c>
      <c r="C33" s="540">
        <v>2252</v>
      </c>
      <c r="D33" s="584">
        <v>205</v>
      </c>
      <c r="E33" s="232">
        <v>1014</v>
      </c>
      <c r="F33" s="593">
        <f t="shared" si="0"/>
        <v>-35.37</v>
      </c>
      <c r="G33" s="593">
        <f>E33/D33*100</f>
        <v>494.63</v>
      </c>
    </row>
    <row r="34" s="580" customFormat="1" ht="20" customHeight="1" spans="1:7">
      <c r="A34" s="583" t="s">
        <v>287</v>
      </c>
      <c r="B34" s="583">
        <f>SUM(B35:B43)</f>
        <v>0</v>
      </c>
      <c r="C34" s="583">
        <f>SUM(C35:C43)</f>
        <v>0</v>
      </c>
      <c r="D34" s="583">
        <f>SUM(D35:D43)</f>
        <v>0</v>
      </c>
      <c r="E34" s="583">
        <f>SUM(E35:E43)</f>
        <v>0</v>
      </c>
      <c r="F34" s="592">
        <f t="shared" si="0"/>
        <v>0</v>
      </c>
      <c r="G34" s="593"/>
    </row>
    <row r="35" s="579" customFormat="1" ht="20" customHeight="1" spans="1:7">
      <c r="A35" s="356" t="s">
        <v>288</v>
      </c>
      <c r="B35" s="540">
        <v>0</v>
      </c>
      <c r="C35" s="540">
        <v>0</v>
      </c>
      <c r="D35" s="584">
        <v>0</v>
      </c>
      <c r="E35" s="232">
        <v>0</v>
      </c>
      <c r="F35" s="593">
        <f t="shared" si="0"/>
        <v>0</v>
      </c>
      <c r="G35" s="593"/>
    </row>
    <row r="36" s="579" customFormat="1" ht="20" customHeight="1" spans="1:7">
      <c r="A36" s="356" t="s">
        <v>289</v>
      </c>
      <c r="B36" s="540"/>
      <c r="C36" s="540"/>
      <c r="D36" s="584"/>
      <c r="E36" s="232"/>
      <c r="F36" s="593"/>
      <c r="G36" s="593"/>
    </row>
    <row r="37" s="579" customFormat="1" ht="20" customHeight="1" spans="1:7">
      <c r="A37" s="356" t="s">
        <v>290</v>
      </c>
      <c r="B37" s="540"/>
      <c r="C37" s="540"/>
      <c r="D37" s="584"/>
      <c r="E37" s="232"/>
      <c r="F37" s="593"/>
      <c r="G37" s="593"/>
    </row>
    <row r="38" s="579" customFormat="1" ht="20" customHeight="1" spans="1:7">
      <c r="A38" s="334" t="s">
        <v>291</v>
      </c>
      <c r="B38" s="540"/>
      <c r="C38" s="540"/>
      <c r="D38" s="584"/>
      <c r="E38" s="232"/>
      <c r="F38" s="593"/>
      <c r="G38" s="593"/>
    </row>
    <row r="39" s="579" customFormat="1" ht="20" customHeight="1" spans="1:7">
      <c r="A39" s="334" t="s">
        <v>292</v>
      </c>
      <c r="B39" s="540"/>
      <c r="C39" s="540"/>
      <c r="D39" s="584"/>
      <c r="E39" s="232"/>
      <c r="F39" s="593"/>
      <c r="G39" s="593"/>
    </row>
    <row r="40" s="579" customFormat="1" ht="20" customHeight="1" spans="1:7">
      <c r="A40" s="334" t="s">
        <v>293</v>
      </c>
      <c r="B40" s="540"/>
      <c r="C40" s="540"/>
      <c r="D40" s="584"/>
      <c r="E40" s="232"/>
      <c r="F40" s="593"/>
      <c r="G40" s="593"/>
    </row>
    <row r="41" s="579" customFormat="1" ht="20" customHeight="1" spans="1:7">
      <c r="A41" s="334" t="s">
        <v>294</v>
      </c>
      <c r="B41" s="540"/>
      <c r="C41" s="540"/>
      <c r="D41" s="584"/>
      <c r="E41" s="232"/>
      <c r="F41" s="593"/>
      <c r="G41" s="593"/>
    </row>
    <row r="42" s="579" customFormat="1" ht="20" customHeight="1" spans="1:7">
      <c r="A42" s="334" t="s">
        <v>295</v>
      </c>
      <c r="B42" s="540"/>
      <c r="C42" s="540"/>
      <c r="D42" s="584"/>
      <c r="E42" s="232"/>
      <c r="F42" s="593"/>
      <c r="G42" s="593"/>
    </row>
    <row r="43" s="579" customFormat="1" ht="20" customHeight="1" spans="1:7">
      <c r="A43" s="356" t="s">
        <v>296</v>
      </c>
      <c r="B43" s="540">
        <v>0</v>
      </c>
      <c r="C43" s="540">
        <v>0</v>
      </c>
      <c r="D43" s="584">
        <v>0</v>
      </c>
      <c r="E43" s="232">
        <v>0</v>
      </c>
      <c r="F43" s="593">
        <f t="shared" ref="F43:F45" si="5">IF(B43=0,,SUM(E43-B43)/B43*100)</f>
        <v>0</v>
      </c>
      <c r="G43" s="593"/>
    </row>
    <row r="44" s="580" customFormat="1" ht="20.1" customHeight="1" spans="1:7">
      <c r="A44" s="583" t="s">
        <v>297</v>
      </c>
      <c r="B44" s="583">
        <f>SUM(B45:B49)</f>
        <v>327</v>
      </c>
      <c r="C44" s="583">
        <f>SUM(C45:C49)</f>
        <v>20</v>
      </c>
      <c r="D44" s="583">
        <f>SUM(D45:D49)</f>
        <v>164</v>
      </c>
      <c r="E44" s="583">
        <f>SUM(E45:E49)</f>
        <v>163</v>
      </c>
      <c r="F44" s="592">
        <f t="shared" si="5"/>
        <v>-50.15</v>
      </c>
      <c r="G44" s="592">
        <f>E44/D44*100</f>
        <v>99.39</v>
      </c>
    </row>
    <row r="45" s="579" customFormat="1" ht="20.1" customHeight="1" spans="1:7">
      <c r="A45" s="334" t="s">
        <v>298</v>
      </c>
      <c r="B45" s="232"/>
      <c r="C45" s="540"/>
      <c r="D45" s="584"/>
      <c r="E45" s="232"/>
      <c r="F45" s="593">
        <f t="shared" si="5"/>
        <v>0</v>
      </c>
      <c r="G45" s="593"/>
    </row>
    <row r="46" s="579" customFormat="1" ht="20.1" customHeight="1" spans="1:7">
      <c r="A46" s="334" t="s">
        <v>299</v>
      </c>
      <c r="B46" s="232"/>
      <c r="C46" s="540"/>
      <c r="D46" s="584"/>
      <c r="E46" s="232"/>
      <c r="F46" s="593"/>
      <c r="G46" s="593"/>
    </row>
    <row r="47" s="579" customFormat="1" ht="20.1" customHeight="1" spans="1:7">
      <c r="A47" s="334" t="s">
        <v>300</v>
      </c>
      <c r="B47" s="232"/>
      <c r="C47" s="540"/>
      <c r="D47" s="584"/>
      <c r="E47" s="232"/>
      <c r="F47" s="593"/>
      <c r="G47" s="593"/>
    </row>
    <row r="48" s="579" customFormat="1" ht="20.1" customHeight="1" spans="1:7">
      <c r="A48" s="334" t="s">
        <v>301</v>
      </c>
      <c r="B48" s="232">
        <v>308</v>
      </c>
      <c r="C48" s="540">
        <v>20</v>
      </c>
      <c r="D48" s="584">
        <v>153</v>
      </c>
      <c r="E48" s="232">
        <v>153</v>
      </c>
      <c r="F48" s="593"/>
      <c r="G48" s="593">
        <f t="shared" ref="G48:G53" si="6">E48/D48*100</f>
        <v>100</v>
      </c>
    </row>
    <row r="49" s="579" customFormat="1" ht="20.1" customHeight="1" spans="1:7">
      <c r="A49" s="334" t="s">
        <v>302</v>
      </c>
      <c r="B49" s="232">
        <v>19</v>
      </c>
      <c r="C49" s="540"/>
      <c r="D49" s="584">
        <v>11</v>
      </c>
      <c r="E49" s="232">
        <v>10</v>
      </c>
      <c r="F49" s="593">
        <f t="shared" ref="F49:F88" si="7">IF(B49=0,,SUM(E49-B49)/B49*100)</f>
        <v>-47.37</v>
      </c>
      <c r="G49" s="593"/>
    </row>
    <row r="50" s="580" customFormat="1" ht="20.1" customHeight="1" spans="1:7">
      <c r="A50" s="583" t="s">
        <v>303</v>
      </c>
      <c r="B50" s="534">
        <f>SUM(B51:B61)</f>
        <v>9721</v>
      </c>
      <c r="C50" s="534">
        <f>SUM(C51:C61)</f>
        <v>10731</v>
      </c>
      <c r="D50" s="534">
        <f>SUM(D51:D61)</f>
        <v>8804</v>
      </c>
      <c r="E50" s="534">
        <f>SUM(E51:E61)</f>
        <v>9349</v>
      </c>
      <c r="F50" s="592">
        <f t="shared" si="7"/>
        <v>-3.83</v>
      </c>
      <c r="G50" s="592">
        <f t="shared" si="6"/>
        <v>106.19</v>
      </c>
    </row>
    <row r="51" s="579" customFormat="1" ht="20.1" customHeight="1" spans="1:7">
      <c r="A51" s="587" t="s">
        <v>304</v>
      </c>
      <c r="B51" s="232">
        <v>38</v>
      </c>
      <c r="C51" s="540">
        <v>12</v>
      </c>
      <c r="D51" s="584">
        <v>45</v>
      </c>
      <c r="E51" s="232">
        <v>28</v>
      </c>
      <c r="F51" s="593">
        <f t="shared" si="7"/>
        <v>-26.32</v>
      </c>
      <c r="G51" s="593">
        <f t="shared" si="6"/>
        <v>62.22</v>
      </c>
    </row>
    <row r="52" s="579" customFormat="1" ht="20.1" customHeight="1" spans="1:7">
      <c r="A52" s="588" t="s">
        <v>305</v>
      </c>
      <c r="B52" s="232">
        <v>8344</v>
      </c>
      <c r="C52" s="540">
        <v>9851</v>
      </c>
      <c r="D52" s="584">
        <v>7801</v>
      </c>
      <c r="E52" s="232">
        <v>8323</v>
      </c>
      <c r="F52" s="593">
        <f t="shared" si="7"/>
        <v>-0.25</v>
      </c>
      <c r="G52" s="593">
        <f t="shared" si="6"/>
        <v>106.69</v>
      </c>
    </row>
    <row r="53" s="579" customFormat="1" ht="20.1" customHeight="1" spans="1:7">
      <c r="A53" s="587" t="s">
        <v>306</v>
      </c>
      <c r="B53" s="232"/>
      <c r="C53" s="540">
        <v>65</v>
      </c>
      <c r="D53" s="584">
        <v>10</v>
      </c>
      <c r="E53" s="232"/>
      <c r="F53" s="593">
        <f t="shared" si="7"/>
        <v>0</v>
      </c>
      <c r="G53" s="593">
        <f t="shared" si="6"/>
        <v>0</v>
      </c>
    </row>
    <row r="54" s="579" customFormat="1" ht="20.1" customHeight="1" spans="1:7">
      <c r="A54" s="587" t="s">
        <v>307</v>
      </c>
      <c r="B54" s="232">
        <v>135</v>
      </c>
      <c r="C54" s="540">
        <v>0</v>
      </c>
      <c r="D54" s="584">
        <v>0</v>
      </c>
      <c r="E54" s="232"/>
      <c r="F54" s="593">
        <f t="shared" si="7"/>
        <v>-100</v>
      </c>
      <c r="G54" s="593"/>
    </row>
    <row r="55" s="579" customFormat="1" ht="20.1" customHeight="1" spans="1:7">
      <c r="A55" s="540" t="s">
        <v>308</v>
      </c>
      <c r="B55" s="232">
        <v>271</v>
      </c>
      <c r="C55" s="540">
        <v>0</v>
      </c>
      <c r="D55" s="584">
        <v>0</v>
      </c>
      <c r="E55" s="232"/>
      <c r="F55" s="593">
        <f t="shared" si="7"/>
        <v>-100</v>
      </c>
      <c r="G55" s="593"/>
    </row>
    <row r="56" s="579" customFormat="1" ht="20.1" customHeight="1" spans="1:7">
      <c r="A56" s="587" t="s">
        <v>309</v>
      </c>
      <c r="B56" s="232">
        <v>878</v>
      </c>
      <c r="C56" s="540">
        <v>803</v>
      </c>
      <c r="D56" s="584">
        <v>915</v>
      </c>
      <c r="E56" s="232">
        <v>966</v>
      </c>
      <c r="F56" s="593">
        <f t="shared" si="7"/>
        <v>10.02</v>
      </c>
      <c r="G56" s="593">
        <f>E56/D56*100</f>
        <v>105.57</v>
      </c>
    </row>
    <row r="57" s="579" customFormat="1" ht="20.1" customHeight="1" spans="1:7">
      <c r="A57" s="587" t="s">
        <v>310</v>
      </c>
      <c r="B57" s="232"/>
      <c r="C57" s="540"/>
      <c r="D57" s="584">
        <v>0</v>
      </c>
      <c r="E57" s="232"/>
      <c r="F57" s="593">
        <f t="shared" si="7"/>
        <v>0</v>
      </c>
      <c r="G57" s="593"/>
    </row>
    <row r="58" s="579" customFormat="1" ht="20.1" customHeight="1" spans="1:7">
      <c r="A58" s="588" t="s">
        <v>311</v>
      </c>
      <c r="B58" s="232"/>
      <c r="C58" s="540"/>
      <c r="D58" s="584">
        <v>0</v>
      </c>
      <c r="E58" s="232"/>
      <c r="F58" s="593">
        <f t="shared" si="7"/>
        <v>0</v>
      </c>
      <c r="G58" s="593"/>
    </row>
    <row r="59" s="579" customFormat="1" ht="20.1" customHeight="1" spans="1:7">
      <c r="A59" s="540" t="s">
        <v>312</v>
      </c>
      <c r="B59" s="232"/>
      <c r="C59" s="540"/>
      <c r="D59" s="584">
        <v>0</v>
      </c>
      <c r="E59" s="232"/>
      <c r="F59" s="593">
        <f t="shared" si="7"/>
        <v>0</v>
      </c>
      <c r="G59" s="593"/>
    </row>
    <row r="60" s="579" customFormat="1" ht="20.1" customHeight="1" spans="1:7">
      <c r="A60" s="587" t="s">
        <v>313</v>
      </c>
      <c r="B60" s="232"/>
      <c r="C60" s="540"/>
      <c r="D60" s="584">
        <v>0</v>
      </c>
      <c r="E60" s="232"/>
      <c r="F60" s="593">
        <f t="shared" si="7"/>
        <v>0</v>
      </c>
      <c r="G60" s="593"/>
    </row>
    <row r="61" s="579" customFormat="1" ht="20.1" customHeight="1" spans="1:7">
      <c r="A61" s="588" t="s">
        <v>314</v>
      </c>
      <c r="B61" s="232">
        <v>55</v>
      </c>
      <c r="C61" s="540"/>
      <c r="D61" s="584">
        <v>33</v>
      </c>
      <c r="E61" s="232">
        <v>32</v>
      </c>
      <c r="F61" s="593">
        <f t="shared" si="7"/>
        <v>-41.82</v>
      </c>
      <c r="G61" s="593">
        <f t="shared" ref="G61:G64" si="8">E61/D61*100</f>
        <v>96.97</v>
      </c>
    </row>
    <row r="62" s="580" customFormat="1" ht="20.1" customHeight="1" spans="1:7">
      <c r="A62" s="583" t="s">
        <v>315</v>
      </c>
      <c r="B62" s="534">
        <f>SUM(B63:B72)</f>
        <v>70306</v>
      </c>
      <c r="C62" s="534">
        <f>SUM(C63:C72)</f>
        <v>78779</v>
      </c>
      <c r="D62" s="534">
        <f>SUM(D63:D72)</f>
        <v>74060</v>
      </c>
      <c r="E62" s="534">
        <f>SUM(E63:E72)</f>
        <v>72893</v>
      </c>
      <c r="F62" s="592">
        <f t="shared" si="7"/>
        <v>3.68</v>
      </c>
      <c r="G62" s="592">
        <f t="shared" si="8"/>
        <v>98.42</v>
      </c>
    </row>
    <row r="63" s="579" customFormat="1" ht="20.1" customHeight="1" spans="1:7">
      <c r="A63" s="588" t="s">
        <v>316</v>
      </c>
      <c r="B63" s="232">
        <v>201</v>
      </c>
      <c r="C63" s="540">
        <v>143</v>
      </c>
      <c r="D63" s="584">
        <v>149</v>
      </c>
      <c r="E63" s="232">
        <v>3244</v>
      </c>
      <c r="F63" s="593">
        <f t="shared" si="7"/>
        <v>1513.93</v>
      </c>
      <c r="G63" s="593">
        <f t="shared" si="8"/>
        <v>2177.18</v>
      </c>
    </row>
    <row r="64" s="579" customFormat="1" ht="20.1" customHeight="1" spans="1:7">
      <c r="A64" s="589" t="s">
        <v>317</v>
      </c>
      <c r="B64" s="232">
        <v>69469</v>
      </c>
      <c r="C64" s="566">
        <v>73806</v>
      </c>
      <c r="D64" s="590">
        <v>69869</v>
      </c>
      <c r="E64" s="232">
        <v>68826</v>
      </c>
      <c r="F64" s="593">
        <f t="shared" si="7"/>
        <v>-0.93</v>
      </c>
      <c r="G64" s="593">
        <f t="shared" si="8"/>
        <v>98.51</v>
      </c>
    </row>
    <row r="65" s="581" customFormat="1" ht="20.1" customHeight="1" spans="1:7">
      <c r="A65" s="587" t="s">
        <v>318</v>
      </c>
      <c r="B65" s="232">
        <v>11</v>
      </c>
      <c r="C65" s="540">
        <v>200</v>
      </c>
      <c r="D65" s="584">
        <v>322</v>
      </c>
      <c r="E65" s="232">
        <v>143</v>
      </c>
      <c r="F65" s="593">
        <f t="shared" si="7"/>
        <v>1200</v>
      </c>
      <c r="G65" s="593"/>
    </row>
    <row r="66" s="579" customFormat="1" ht="20.1" customHeight="1" spans="1:7">
      <c r="A66" s="540" t="s">
        <v>319</v>
      </c>
      <c r="B66" s="232"/>
      <c r="C66" s="540">
        <v>0</v>
      </c>
      <c r="D66" s="584">
        <v>0</v>
      </c>
      <c r="E66" s="232"/>
      <c r="F66" s="593">
        <f t="shared" si="7"/>
        <v>0</v>
      </c>
      <c r="G66" s="593"/>
    </row>
    <row r="67" s="579" customFormat="1" ht="20.1" customHeight="1" spans="1:7">
      <c r="A67" s="588" t="s">
        <v>320</v>
      </c>
      <c r="B67" s="232"/>
      <c r="C67" s="540">
        <v>0</v>
      </c>
      <c r="D67" s="584">
        <v>0</v>
      </c>
      <c r="E67" s="232"/>
      <c r="F67" s="593">
        <f t="shared" si="7"/>
        <v>0</v>
      </c>
      <c r="G67" s="593" t="e">
        <f t="shared" ref="G67:G71" si="9">E67/D67*100</f>
        <v>#DIV/0!</v>
      </c>
    </row>
    <row r="68" s="579" customFormat="1" ht="20.1" customHeight="1" spans="1:7">
      <c r="A68" s="588" t="s">
        <v>321</v>
      </c>
      <c r="B68" s="232"/>
      <c r="C68" s="540">
        <v>0</v>
      </c>
      <c r="D68" s="584">
        <v>0</v>
      </c>
      <c r="E68" s="232"/>
      <c r="F68" s="593">
        <f t="shared" si="7"/>
        <v>0</v>
      </c>
      <c r="G68" s="593"/>
    </row>
    <row r="69" s="579" customFormat="1" ht="20.1" customHeight="1" spans="1:7">
      <c r="A69" s="587" t="s">
        <v>322</v>
      </c>
      <c r="B69" s="232">
        <v>314</v>
      </c>
      <c r="C69" s="540">
        <v>301</v>
      </c>
      <c r="D69" s="584">
        <v>331</v>
      </c>
      <c r="E69" s="232">
        <v>387</v>
      </c>
      <c r="F69" s="593">
        <f t="shared" si="7"/>
        <v>23.25</v>
      </c>
      <c r="G69" s="593">
        <f t="shared" si="9"/>
        <v>116.92</v>
      </c>
    </row>
    <row r="70" s="579" customFormat="1" ht="20.1" customHeight="1" spans="1:7">
      <c r="A70" s="588" t="s">
        <v>323</v>
      </c>
      <c r="B70" s="232">
        <v>271</v>
      </c>
      <c r="C70" s="540">
        <v>266</v>
      </c>
      <c r="D70" s="584">
        <v>266</v>
      </c>
      <c r="E70" s="232">
        <v>279</v>
      </c>
      <c r="F70" s="593">
        <f t="shared" si="7"/>
        <v>2.95</v>
      </c>
      <c r="G70" s="593">
        <f t="shared" si="9"/>
        <v>104.89</v>
      </c>
    </row>
    <row r="71" s="579" customFormat="1" ht="20.1" customHeight="1" spans="1:7">
      <c r="A71" s="587" t="s">
        <v>324</v>
      </c>
      <c r="B71" s="232">
        <v>40</v>
      </c>
      <c r="C71" s="540">
        <v>4063</v>
      </c>
      <c r="D71" s="584">
        <v>3123</v>
      </c>
      <c r="E71" s="232">
        <v>14</v>
      </c>
      <c r="F71" s="593">
        <f t="shared" si="7"/>
        <v>-65</v>
      </c>
      <c r="G71" s="593">
        <f t="shared" si="9"/>
        <v>0.45</v>
      </c>
    </row>
    <row r="72" s="579" customFormat="1" ht="20.1" customHeight="1" spans="1:7">
      <c r="A72" s="587" t="s">
        <v>325</v>
      </c>
      <c r="B72" s="232"/>
      <c r="C72" s="540"/>
      <c r="D72" s="584">
        <v>0</v>
      </c>
      <c r="E72" s="232"/>
      <c r="F72" s="593">
        <f t="shared" si="7"/>
        <v>0</v>
      </c>
      <c r="G72" s="593"/>
    </row>
    <row r="73" s="580" customFormat="1" ht="20.1" customHeight="1" spans="1:7">
      <c r="A73" s="583" t="s">
        <v>326</v>
      </c>
      <c r="B73" s="534">
        <f>SUM(B74:B83)</f>
        <v>1221</v>
      </c>
      <c r="C73" s="534">
        <f>SUM(C74:C83)</f>
        <v>2227</v>
      </c>
      <c r="D73" s="534">
        <f>SUM(D74:D83)</f>
        <v>1361</v>
      </c>
      <c r="E73" s="534">
        <f>SUM(E74:E83)</f>
        <v>3399</v>
      </c>
      <c r="F73" s="592">
        <f t="shared" si="7"/>
        <v>178.38</v>
      </c>
      <c r="G73" s="592">
        <f t="shared" ref="G73:G77" si="10">E73/D73*100</f>
        <v>249.74</v>
      </c>
    </row>
    <row r="74" s="579" customFormat="1" ht="20.1" customHeight="1" spans="1:7">
      <c r="A74" s="588" t="s">
        <v>327</v>
      </c>
      <c r="B74" s="232">
        <v>318</v>
      </c>
      <c r="C74" s="540">
        <v>217</v>
      </c>
      <c r="D74" s="584">
        <v>267</v>
      </c>
      <c r="E74" s="232">
        <v>297</v>
      </c>
      <c r="F74" s="593">
        <f t="shared" si="7"/>
        <v>-6.6</v>
      </c>
      <c r="G74" s="593">
        <f t="shared" si="10"/>
        <v>111.24</v>
      </c>
    </row>
    <row r="75" s="579" customFormat="1" ht="20.1" customHeight="1" spans="1:7">
      <c r="A75" s="587" t="s">
        <v>328</v>
      </c>
      <c r="B75" s="232">
        <v>200</v>
      </c>
      <c r="C75" s="540">
        <v>196</v>
      </c>
      <c r="D75" s="584">
        <v>200</v>
      </c>
      <c r="E75" s="232">
        <v>194</v>
      </c>
      <c r="F75" s="593">
        <f t="shared" si="7"/>
        <v>-3</v>
      </c>
      <c r="G75" s="593">
        <f t="shared" si="10"/>
        <v>97</v>
      </c>
    </row>
    <row r="76" s="579" customFormat="1" ht="20.1" customHeight="1" spans="1:7">
      <c r="A76" s="588" t="s">
        <v>329</v>
      </c>
      <c r="B76" s="232"/>
      <c r="C76" s="540">
        <v>0</v>
      </c>
      <c r="D76" s="584">
        <v>0</v>
      </c>
      <c r="E76" s="232"/>
      <c r="F76" s="593">
        <f t="shared" si="7"/>
        <v>0</v>
      </c>
      <c r="G76" s="593" t="e">
        <f t="shared" si="10"/>
        <v>#DIV/0!</v>
      </c>
    </row>
    <row r="77" s="579" customFormat="1" ht="20.1" customHeight="1" spans="1:7">
      <c r="A77" s="588" t="s">
        <v>330</v>
      </c>
      <c r="B77" s="232">
        <v>505</v>
      </c>
      <c r="C77" s="540">
        <v>1674</v>
      </c>
      <c r="D77" s="584">
        <v>663</v>
      </c>
      <c r="E77" s="232">
        <v>1233</v>
      </c>
      <c r="F77" s="593">
        <f t="shared" si="7"/>
        <v>144.16</v>
      </c>
      <c r="G77" s="593">
        <f t="shared" si="10"/>
        <v>185.97</v>
      </c>
    </row>
    <row r="78" s="579" customFormat="1" ht="20.1" customHeight="1" spans="1:7">
      <c r="A78" s="588" t="s">
        <v>331</v>
      </c>
      <c r="B78" s="232"/>
      <c r="C78" s="540">
        <v>0</v>
      </c>
      <c r="D78" s="584">
        <v>0</v>
      </c>
      <c r="E78" s="232"/>
      <c r="F78" s="593">
        <f t="shared" si="7"/>
        <v>0</v>
      </c>
      <c r="G78" s="593"/>
    </row>
    <row r="79" s="579" customFormat="1" ht="20.1" customHeight="1" spans="1:7">
      <c r="A79" s="588" t="s">
        <v>332</v>
      </c>
      <c r="B79" s="232"/>
      <c r="C79" s="540">
        <v>0</v>
      </c>
      <c r="D79" s="584">
        <v>0</v>
      </c>
      <c r="E79" s="232"/>
      <c r="F79" s="593">
        <f t="shared" si="7"/>
        <v>0</v>
      </c>
      <c r="G79" s="593"/>
    </row>
    <row r="80" s="579" customFormat="1" ht="20.1" customHeight="1" spans="1:7">
      <c r="A80" s="587" t="s">
        <v>333</v>
      </c>
      <c r="B80" s="232">
        <v>198</v>
      </c>
      <c r="C80" s="540">
        <v>137</v>
      </c>
      <c r="D80" s="584">
        <v>158</v>
      </c>
      <c r="E80" s="232">
        <v>159</v>
      </c>
      <c r="F80" s="593">
        <f t="shared" si="7"/>
        <v>-19.7</v>
      </c>
      <c r="G80" s="593">
        <f t="shared" ref="G80:G89" si="11">E80/D80*100</f>
        <v>100.63</v>
      </c>
    </row>
    <row r="81" s="579" customFormat="1" ht="20.1" customHeight="1" spans="1:7">
      <c r="A81" s="587" t="s">
        <v>334</v>
      </c>
      <c r="B81" s="232"/>
      <c r="C81" s="540">
        <v>0</v>
      </c>
      <c r="D81" s="584">
        <v>0</v>
      </c>
      <c r="E81" s="232"/>
      <c r="F81" s="593">
        <f t="shared" si="7"/>
        <v>0</v>
      </c>
      <c r="G81" s="593"/>
    </row>
    <row r="82" s="579" customFormat="1" ht="20.1" customHeight="1" spans="1:7">
      <c r="A82" s="540" t="s">
        <v>335</v>
      </c>
      <c r="B82" s="232"/>
      <c r="C82" s="540">
        <v>0</v>
      </c>
      <c r="D82" s="584">
        <v>2</v>
      </c>
      <c r="E82" s="232">
        <v>2</v>
      </c>
      <c r="F82" s="593">
        <f t="shared" si="7"/>
        <v>0</v>
      </c>
      <c r="G82" s="593">
        <f t="shared" si="11"/>
        <v>100</v>
      </c>
    </row>
    <row r="83" s="579" customFormat="1" ht="20.1" customHeight="1" spans="1:7">
      <c r="A83" s="587" t="s">
        <v>336</v>
      </c>
      <c r="B83" s="232"/>
      <c r="C83" s="540">
        <v>3</v>
      </c>
      <c r="D83" s="584">
        <v>71</v>
      </c>
      <c r="E83" s="232">
        <v>1514</v>
      </c>
      <c r="F83" s="593">
        <f t="shared" si="7"/>
        <v>0</v>
      </c>
      <c r="G83" s="593"/>
    </row>
    <row r="84" s="580" customFormat="1" ht="20.1" customHeight="1" spans="1:7">
      <c r="A84" s="583" t="s">
        <v>337</v>
      </c>
      <c r="B84" s="534">
        <f>SUM(B85:B90)</f>
        <v>2181</v>
      </c>
      <c r="C84" s="534">
        <f>SUM(C85:C90)</f>
        <v>4949</v>
      </c>
      <c r="D84" s="534">
        <f>SUM(D85:D90)</f>
        <v>5973</v>
      </c>
      <c r="E84" s="534">
        <f>SUM(E85:E90)</f>
        <v>5264</v>
      </c>
      <c r="F84" s="592">
        <f t="shared" si="7"/>
        <v>141.36</v>
      </c>
      <c r="G84" s="592">
        <f t="shared" si="11"/>
        <v>88.13</v>
      </c>
    </row>
    <row r="85" s="579" customFormat="1" ht="20.1" customHeight="1" spans="1:7">
      <c r="A85" s="540" t="s">
        <v>338</v>
      </c>
      <c r="B85" s="232">
        <v>1670</v>
      </c>
      <c r="C85" s="540">
        <v>4165</v>
      </c>
      <c r="D85" s="584">
        <v>4488</v>
      </c>
      <c r="E85" s="232">
        <v>4590</v>
      </c>
      <c r="F85" s="593">
        <f t="shared" si="7"/>
        <v>174.85</v>
      </c>
      <c r="G85" s="593">
        <f t="shared" si="11"/>
        <v>102.27</v>
      </c>
    </row>
    <row r="86" s="579" customFormat="1" ht="20.1" customHeight="1" spans="1:7">
      <c r="A86" s="540" t="s">
        <v>339</v>
      </c>
      <c r="B86" s="232">
        <v>71</v>
      </c>
      <c r="C86" s="540">
        <v>183</v>
      </c>
      <c r="D86" s="584">
        <v>502</v>
      </c>
      <c r="E86" s="232">
        <v>197</v>
      </c>
      <c r="F86" s="593">
        <f t="shared" si="7"/>
        <v>177.46</v>
      </c>
      <c r="G86" s="593">
        <f t="shared" si="11"/>
        <v>39.24</v>
      </c>
    </row>
    <row r="87" s="579" customFormat="1" ht="20.1" customHeight="1" spans="1:7">
      <c r="A87" s="540" t="s">
        <v>340</v>
      </c>
      <c r="B87" s="232">
        <v>23</v>
      </c>
      <c r="C87" s="540">
        <v>24</v>
      </c>
      <c r="D87" s="584">
        <v>24</v>
      </c>
      <c r="E87" s="232">
        <v>23</v>
      </c>
      <c r="F87" s="593">
        <f t="shared" si="7"/>
        <v>0</v>
      </c>
      <c r="G87" s="593">
        <f t="shared" si="11"/>
        <v>95.83</v>
      </c>
    </row>
    <row r="88" s="579" customFormat="1" ht="20.1" customHeight="1" spans="1:7">
      <c r="A88" s="657" t="s">
        <v>341</v>
      </c>
      <c r="B88" s="232">
        <v>37</v>
      </c>
      <c r="C88" s="540">
        <v>26</v>
      </c>
      <c r="D88" s="584">
        <v>37</v>
      </c>
      <c r="E88" s="232">
        <v>64</v>
      </c>
      <c r="F88" s="593">
        <f t="shared" si="7"/>
        <v>72.97</v>
      </c>
      <c r="G88" s="593">
        <f t="shared" si="11"/>
        <v>172.97</v>
      </c>
    </row>
    <row r="89" s="579" customFormat="1" ht="20.1" customHeight="1" spans="1:7">
      <c r="A89" s="657" t="s">
        <v>342</v>
      </c>
      <c r="B89" s="232">
        <v>380</v>
      </c>
      <c r="C89" s="540">
        <v>536</v>
      </c>
      <c r="D89" s="584">
        <v>374</v>
      </c>
      <c r="E89" s="232">
        <v>384</v>
      </c>
      <c r="F89" s="593"/>
      <c r="G89" s="593">
        <f t="shared" si="11"/>
        <v>102.67</v>
      </c>
    </row>
    <row r="90" s="579" customFormat="1" ht="20.1" customHeight="1" spans="1:7">
      <c r="A90" s="540" t="s">
        <v>343</v>
      </c>
      <c r="B90" s="232"/>
      <c r="C90" s="540">
        <v>15</v>
      </c>
      <c r="D90" s="584">
        <v>548</v>
      </c>
      <c r="E90" s="232">
        <v>6</v>
      </c>
      <c r="F90" s="593">
        <f t="shared" ref="F90:F110" si="12">IF(B90=0,,SUM(E90-B90)/B90*100)</f>
        <v>0</v>
      </c>
      <c r="G90" s="593"/>
    </row>
    <row r="91" s="580" customFormat="1" ht="20.1" customHeight="1" spans="1:7">
      <c r="A91" s="583" t="s">
        <v>344</v>
      </c>
      <c r="B91" s="534">
        <f>SUM(B92:B112)</f>
        <v>59901</v>
      </c>
      <c r="C91" s="534">
        <f>SUM(C92:C112)</f>
        <v>65144</v>
      </c>
      <c r="D91" s="534">
        <f>SUM(D92:D112)</f>
        <v>70167</v>
      </c>
      <c r="E91" s="534">
        <f>SUM(E92:E112)</f>
        <v>70163</v>
      </c>
      <c r="F91" s="592">
        <f t="shared" si="12"/>
        <v>17.13</v>
      </c>
      <c r="G91" s="592">
        <f t="shared" ref="G91:G93" si="13">E91/D91*100</f>
        <v>99.99</v>
      </c>
    </row>
    <row r="92" s="579" customFormat="1" ht="18.75" customHeight="1" spans="1:7">
      <c r="A92" s="540" t="s">
        <v>345</v>
      </c>
      <c r="B92" s="232">
        <v>3710</v>
      </c>
      <c r="C92" s="540">
        <v>4296</v>
      </c>
      <c r="D92" s="584">
        <v>4682</v>
      </c>
      <c r="E92" s="232">
        <v>1300</v>
      </c>
      <c r="F92" s="593">
        <f t="shared" si="12"/>
        <v>-64.96</v>
      </c>
      <c r="G92" s="593">
        <f t="shared" si="13"/>
        <v>27.77</v>
      </c>
    </row>
    <row r="93" s="579" customFormat="1" ht="18.75" customHeight="1" spans="1:7">
      <c r="A93" s="540" t="s">
        <v>346</v>
      </c>
      <c r="B93" s="232">
        <v>592</v>
      </c>
      <c r="C93" s="540">
        <v>626</v>
      </c>
      <c r="D93" s="584">
        <v>809</v>
      </c>
      <c r="E93" s="232">
        <v>811</v>
      </c>
      <c r="F93" s="593">
        <f t="shared" si="12"/>
        <v>36.99</v>
      </c>
      <c r="G93" s="593">
        <f t="shared" si="13"/>
        <v>100.25</v>
      </c>
    </row>
    <row r="94" s="579" customFormat="1" ht="20.1" customHeight="1" spans="1:7">
      <c r="A94" s="657" t="s">
        <v>347</v>
      </c>
      <c r="B94" s="232"/>
      <c r="C94" s="540">
        <v>0</v>
      </c>
      <c r="D94" s="584">
        <v>0</v>
      </c>
      <c r="E94" s="232"/>
      <c r="F94" s="593">
        <f t="shared" si="12"/>
        <v>0</v>
      </c>
      <c r="G94" s="593"/>
    </row>
    <row r="95" s="579" customFormat="1" ht="20.1" customHeight="1" spans="1:7">
      <c r="A95" s="540" t="s">
        <v>348</v>
      </c>
      <c r="B95" s="232">
        <v>24162</v>
      </c>
      <c r="C95" s="540">
        <v>28797</v>
      </c>
      <c r="D95" s="584">
        <v>24511</v>
      </c>
      <c r="E95" s="232">
        <v>27985</v>
      </c>
      <c r="F95" s="593">
        <f t="shared" si="12"/>
        <v>15.82</v>
      </c>
      <c r="G95" s="593">
        <f t="shared" ref="G95:G105" si="14">E95/D95*100</f>
        <v>114.17</v>
      </c>
    </row>
    <row r="96" s="579" customFormat="1" ht="20.1" customHeight="1" spans="1:7">
      <c r="A96" s="540" t="s">
        <v>349</v>
      </c>
      <c r="B96" s="232"/>
      <c r="C96" s="540">
        <v>0</v>
      </c>
      <c r="D96" s="584">
        <v>0</v>
      </c>
      <c r="E96" s="232"/>
      <c r="F96" s="593">
        <f t="shared" si="12"/>
        <v>0</v>
      </c>
      <c r="G96" s="593"/>
    </row>
    <row r="97" s="579" customFormat="1" ht="20.1" customHeight="1" spans="1:7">
      <c r="A97" s="540" t="s">
        <v>350</v>
      </c>
      <c r="B97" s="232">
        <v>1561</v>
      </c>
      <c r="C97" s="540">
        <v>1744</v>
      </c>
      <c r="D97" s="584">
        <v>2542</v>
      </c>
      <c r="E97" s="232">
        <v>2720</v>
      </c>
      <c r="F97" s="593">
        <f t="shared" si="12"/>
        <v>74.25</v>
      </c>
      <c r="G97" s="593">
        <f t="shared" si="14"/>
        <v>107</v>
      </c>
    </row>
    <row r="98" s="579" customFormat="1" ht="20.1" customHeight="1" spans="1:7">
      <c r="A98" s="540" t="s">
        <v>351</v>
      </c>
      <c r="B98" s="232">
        <v>2131</v>
      </c>
      <c r="C98" s="540">
        <v>2176</v>
      </c>
      <c r="D98" s="584">
        <v>2349</v>
      </c>
      <c r="E98" s="232">
        <v>2283</v>
      </c>
      <c r="F98" s="593">
        <f t="shared" si="12"/>
        <v>7.13</v>
      </c>
      <c r="G98" s="593">
        <f t="shared" si="14"/>
        <v>97.19</v>
      </c>
    </row>
    <row r="99" s="579" customFormat="1" ht="20.1" customHeight="1" spans="1:7">
      <c r="A99" s="540" t="s">
        <v>352</v>
      </c>
      <c r="B99" s="232">
        <v>203</v>
      </c>
      <c r="C99" s="540">
        <v>298</v>
      </c>
      <c r="D99" s="584">
        <v>299</v>
      </c>
      <c r="E99" s="232">
        <v>233</v>
      </c>
      <c r="F99" s="593">
        <f t="shared" si="12"/>
        <v>14.78</v>
      </c>
      <c r="G99" s="593">
        <f t="shared" si="14"/>
        <v>77.93</v>
      </c>
    </row>
    <row r="100" s="579" customFormat="1" ht="20.1" customHeight="1" spans="1:7">
      <c r="A100" s="540" t="s">
        <v>353</v>
      </c>
      <c r="B100" s="232">
        <v>930</v>
      </c>
      <c r="C100" s="540">
        <v>1092</v>
      </c>
      <c r="D100" s="584">
        <v>1176</v>
      </c>
      <c r="E100" s="232">
        <v>1329</v>
      </c>
      <c r="F100" s="593">
        <f t="shared" si="12"/>
        <v>42.9</v>
      </c>
      <c r="G100" s="593">
        <f t="shared" si="14"/>
        <v>113.01</v>
      </c>
    </row>
    <row r="101" s="579" customFormat="1" ht="20.1" customHeight="1" spans="1:7">
      <c r="A101" s="540" t="s">
        <v>354</v>
      </c>
      <c r="B101" s="232">
        <v>1493</v>
      </c>
      <c r="C101" s="540">
        <v>1853</v>
      </c>
      <c r="D101" s="584">
        <v>1285</v>
      </c>
      <c r="E101" s="232">
        <v>1650</v>
      </c>
      <c r="F101" s="593">
        <f t="shared" si="12"/>
        <v>10.52</v>
      </c>
      <c r="G101" s="593">
        <f t="shared" si="14"/>
        <v>128.4</v>
      </c>
    </row>
    <row r="102" s="579" customFormat="1" ht="20.1" customHeight="1" spans="1:7">
      <c r="A102" s="540" t="s">
        <v>355</v>
      </c>
      <c r="B102" s="232">
        <v>50</v>
      </c>
      <c r="C102" s="540">
        <v>39</v>
      </c>
      <c r="D102" s="584">
        <v>40</v>
      </c>
      <c r="E102" s="232">
        <v>50</v>
      </c>
      <c r="F102" s="593">
        <f t="shared" si="12"/>
        <v>0</v>
      </c>
      <c r="G102" s="593">
        <f t="shared" si="14"/>
        <v>125</v>
      </c>
    </row>
    <row r="103" s="579" customFormat="1" ht="20.1" customHeight="1" spans="1:7">
      <c r="A103" s="540" t="s">
        <v>356</v>
      </c>
      <c r="B103" s="232">
        <v>11385</v>
      </c>
      <c r="C103" s="540">
        <v>6884</v>
      </c>
      <c r="D103" s="584">
        <v>11619</v>
      </c>
      <c r="E103" s="232">
        <v>11123</v>
      </c>
      <c r="F103" s="593">
        <f t="shared" si="12"/>
        <v>-2.3</v>
      </c>
      <c r="G103" s="593">
        <f t="shared" si="14"/>
        <v>95.73</v>
      </c>
    </row>
    <row r="104" s="579" customFormat="1" ht="20.1" customHeight="1" spans="1:7">
      <c r="A104" s="540" t="s">
        <v>357</v>
      </c>
      <c r="B104" s="232">
        <v>146</v>
      </c>
      <c r="C104" s="540">
        <v>186</v>
      </c>
      <c r="D104" s="584">
        <v>186</v>
      </c>
      <c r="E104" s="232">
        <v>153</v>
      </c>
      <c r="F104" s="593">
        <f t="shared" si="12"/>
        <v>4.79</v>
      </c>
      <c r="G104" s="593">
        <f t="shared" si="14"/>
        <v>82.26</v>
      </c>
    </row>
    <row r="105" s="579" customFormat="1" ht="20.1" customHeight="1" spans="1:7">
      <c r="A105" s="540" t="s">
        <v>358</v>
      </c>
      <c r="B105" s="232">
        <v>1879</v>
      </c>
      <c r="C105" s="540">
        <v>1800</v>
      </c>
      <c r="D105" s="584">
        <v>2589</v>
      </c>
      <c r="E105" s="232">
        <v>1790</v>
      </c>
      <c r="F105" s="593">
        <f t="shared" si="12"/>
        <v>-4.74</v>
      </c>
      <c r="G105" s="593">
        <f t="shared" si="14"/>
        <v>69.14</v>
      </c>
    </row>
    <row r="106" s="579" customFormat="1" ht="20.1" customHeight="1" spans="1:7">
      <c r="A106" s="540" t="s">
        <v>359</v>
      </c>
      <c r="B106" s="232"/>
      <c r="C106" s="540">
        <v>0</v>
      </c>
      <c r="D106" s="584">
        <v>0</v>
      </c>
      <c r="E106" s="232"/>
      <c r="F106" s="593">
        <f t="shared" si="12"/>
        <v>0</v>
      </c>
      <c r="G106" s="593"/>
    </row>
    <row r="107" s="579" customFormat="1" ht="20.1" customHeight="1" spans="1:7">
      <c r="A107" s="540" t="s">
        <v>360</v>
      </c>
      <c r="B107" s="232">
        <v>246</v>
      </c>
      <c r="C107" s="540">
        <v>8</v>
      </c>
      <c r="D107" s="584">
        <v>8</v>
      </c>
      <c r="E107" s="232">
        <v>7</v>
      </c>
      <c r="F107" s="593">
        <f t="shared" si="12"/>
        <v>-97.15</v>
      </c>
      <c r="G107" s="593">
        <f t="shared" ref="G107:G128" si="15">E107/D107*100</f>
        <v>87.5</v>
      </c>
    </row>
    <row r="108" s="579" customFormat="1" ht="20.1" customHeight="1" spans="1:7">
      <c r="A108" s="540" t="s">
        <v>361</v>
      </c>
      <c r="B108" s="232">
        <v>6468</v>
      </c>
      <c r="C108" s="540">
        <v>11114</v>
      </c>
      <c r="D108" s="584">
        <v>14938</v>
      </c>
      <c r="E108" s="232">
        <v>15568</v>
      </c>
      <c r="F108" s="593">
        <f t="shared" si="12"/>
        <v>140.69</v>
      </c>
      <c r="G108" s="593">
        <f t="shared" si="15"/>
        <v>104.22</v>
      </c>
    </row>
    <row r="109" s="579" customFormat="1" ht="20.1" customHeight="1" spans="1:7">
      <c r="A109" s="657" t="s">
        <v>362</v>
      </c>
      <c r="B109" s="232"/>
      <c r="C109" s="540">
        <v>0</v>
      </c>
      <c r="D109" s="584">
        <v>0</v>
      </c>
      <c r="E109" s="232"/>
      <c r="F109" s="593">
        <f t="shared" si="12"/>
        <v>0</v>
      </c>
      <c r="G109" s="593"/>
    </row>
    <row r="110" s="579" customFormat="1" ht="20.1" customHeight="1" spans="1:7">
      <c r="A110" s="657" t="s">
        <v>363</v>
      </c>
      <c r="B110" s="232">
        <v>431</v>
      </c>
      <c r="C110" s="540">
        <v>288</v>
      </c>
      <c r="D110" s="584">
        <v>207</v>
      </c>
      <c r="E110" s="232">
        <v>207</v>
      </c>
      <c r="F110" s="593">
        <f t="shared" si="12"/>
        <v>-51.97</v>
      </c>
      <c r="G110" s="593">
        <f t="shared" si="15"/>
        <v>100</v>
      </c>
    </row>
    <row r="111" s="579" customFormat="1" ht="20.1" customHeight="1" spans="1:7">
      <c r="A111" s="657" t="s">
        <v>364</v>
      </c>
      <c r="B111" s="232">
        <v>3462</v>
      </c>
      <c r="C111" s="540">
        <v>2745</v>
      </c>
      <c r="D111" s="584">
        <v>1240</v>
      </c>
      <c r="E111" s="232">
        <v>784</v>
      </c>
      <c r="F111" s="593"/>
      <c r="G111" s="593">
        <f t="shared" si="15"/>
        <v>63.23</v>
      </c>
    </row>
    <row r="112" s="579" customFormat="1" ht="20.1" customHeight="1" spans="1:7">
      <c r="A112" s="540" t="s">
        <v>365</v>
      </c>
      <c r="B112" s="232">
        <v>1052</v>
      </c>
      <c r="C112" s="540">
        <v>1198</v>
      </c>
      <c r="D112" s="584">
        <v>1687</v>
      </c>
      <c r="E112" s="232">
        <v>2170</v>
      </c>
      <c r="F112" s="593">
        <f t="shared" ref="F112:F123" si="16">IF(B112=0,,SUM(E112-B112)/B112*100)</f>
        <v>106.27</v>
      </c>
      <c r="G112" s="593">
        <f t="shared" si="15"/>
        <v>128.63</v>
      </c>
    </row>
    <row r="113" s="580" customFormat="1" ht="20.1" customHeight="1" spans="1:7">
      <c r="A113" s="583" t="s">
        <v>366</v>
      </c>
      <c r="B113" s="534">
        <f>SUM(B114:B127)</f>
        <v>24138</v>
      </c>
      <c r="C113" s="534">
        <f>SUM(C114:C127)</f>
        <v>21790</v>
      </c>
      <c r="D113" s="534">
        <f>SUM(D114:D127)</f>
        <v>31639</v>
      </c>
      <c r="E113" s="534">
        <f>SUM(E114:E127)</f>
        <v>29027</v>
      </c>
      <c r="F113" s="592">
        <f t="shared" si="16"/>
        <v>20.25</v>
      </c>
      <c r="G113" s="592">
        <f t="shared" si="15"/>
        <v>91.74</v>
      </c>
    </row>
    <row r="114" s="579" customFormat="1" ht="20.1" customHeight="1" spans="1:7">
      <c r="A114" s="540" t="s">
        <v>367</v>
      </c>
      <c r="B114" s="232">
        <v>464</v>
      </c>
      <c r="C114" s="540">
        <v>551</v>
      </c>
      <c r="D114" s="584">
        <v>566</v>
      </c>
      <c r="E114" s="232">
        <v>543</v>
      </c>
      <c r="F114" s="593">
        <f t="shared" si="16"/>
        <v>17.03</v>
      </c>
      <c r="G114" s="593">
        <f t="shared" si="15"/>
        <v>95.94</v>
      </c>
    </row>
    <row r="115" s="579" customFormat="1" ht="20.1" customHeight="1" spans="1:7">
      <c r="A115" s="540" t="s">
        <v>368</v>
      </c>
      <c r="B115" s="232">
        <v>2213</v>
      </c>
      <c r="C115" s="540">
        <v>2209</v>
      </c>
      <c r="D115" s="584">
        <v>2170</v>
      </c>
      <c r="E115" s="232">
        <v>2238</v>
      </c>
      <c r="F115" s="593">
        <f t="shared" si="16"/>
        <v>1.13</v>
      </c>
      <c r="G115" s="593">
        <f t="shared" si="15"/>
        <v>103.13</v>
      </c>
    </row>
    <row r="116" s="579" customFormat="1" ht="20.1" customHeight="1" spans="1:7">
      <c r="A116" s="540" t="s">
        <v>369</v>
      </c>
      <c r="B116" s="232">
        <v>3565</v>
      </c>
      <c r="C116" s="540">
        <v>4618</v>
      </c>
      <c r="D116" s="584">
        <v>5623</v>
      </c>
      <c r="E116" s="232">
        <v>5246</v>
      </c>
      <c r="F116" s="593">
        <f t="shared" si="16"/>
        <v>47.15</v>
      </c>
      <c r="G116" s="593">
        <f t="shared" si="15"/>
        <v>93.3</v>
      </c>
    </row>
    <row r="117" s="579" customFormat="1" ht="20.1" customHeight="1" spans="1:7">
      <c r="A117" s="540" t="s">
        <v>370</v>
      </c>
      <c r="B117" s="232">
        <v>4504</v>
      </c>
      <c r="C117" s="540">
        <v>2528</v>
      </c>
      <c r="D117" s="584">
        <v>4792</v>
      </c>
      <c r="E117" s="232">
        <v>5921</v>
      </c>
      <c r="F117" s="593">
        <f t="shared" si="16"/>
        <v>31.46</v>
      </c>
      <c r="G117" s="593">
        <f t="shared" si="15"/>
        <v>123.56</v>
      </c>
    </row>
    <row r="118" s="579" customFormat="1" ht="20.1" customHeight="1" spans="1:7">
      <c r="A118" s="540" t="s">
        <v>371</v>
      </c>
      <c r="B118" s="232">
        <v>3161</v>
      </c>
      <c r="C118" s="540">
        <v>2707</v>
      </c>
      <c r="D118" s="584">
        <v>1971</v>
      </c>
      <c r="E118" s="232">
        <v>1656</v>
      </c>
      <c r="F118" s="593">
        <f t="shared" si="16"/>
        <v>-47.61</v>
      </c>
      <c r="G118" s="593">
        <f t="shared" si="15"/>
        <v>84.02</v>
      </c>
    </row>
    <row r="119" s="579" customFormat="1" ht="20.1" customHeight="1" spans="1:7">
      <c r="A119" s="540" t="s">
        <v>372</v>
      </c>
      <c r="B119" s="232">
        <v>4835</v>
      </c>
      <c r="C119" s="540">
        <v>3774</v>
      </c>
      <c r="D119" s="584">
        <v>4300</v>
      </c>
      <c r="E119" s="232">
        <v>5677</v>
      </c>
      <c r="F119" s="593">
        <f t="shared" si="16"/>
        <v>17.41</v>
      </c>
      <c r="G119" s="593">
        <f t="shared" si="15"/>
        <v>132.02</v>
      </c>
    </row>
    <row r="120" s="579" customFormat="1" ht="20.1" customHeight="1" spans="1:7">
      <c r="A120" s="540" t="s">
        <v>373</v>
      </c>
      <c r="B120" s="232">
        <v>1080</v>
      </c>
      <c r="C120" s="540">
        <v>50</v>
      </c>
      <c r="D120" s="584">
        <v>1430</v>
      </c>
      <c r="E120" s="232">
        <v>1100</v>
      </c>
      <c r="F120" s="593">
        <f t="shared" si="16"/>
        <v>1.85</v>
      </c>
      <c r="G120" s="593">
        <f t="shared" si="15"/>
        <v>76.92</v>
      </c>
    </row>
    <row r="121" s="579" customFormat="1" ht="20.1" customHeight="1" spans="1:7">
      <c r="A121" s="540" t="s">
        <v>374</v>
      </c>
      <c r="B121" s="232">
        <v>3376</v>
      </c>
      <c r="C121" s="540">
        <v>2591</v>
      </c>
      <c r="D121" s="584">
        <v>3286</v>
      </c>
      <c r="E121" s="232">
        <v>3196</v>
      </c>
      <c r="F121" s="593">
        <f t="shared" si="16"/>
        <v>-5.33</v>
      </c>
      <c r="G121" s="593">
        <f t="shared" si="15"/>
        <v>97.26</v>
      </c>
    </row>
    <row r="122" s="579" customFormat="1" ht="20.1" customHeight="1" spans="1:7">
      <c r="A122" s="540" t="s">
        <v>375</v>
      </c>
      <c r="B122" s="232">
        <v>68</v>
      </c>
      <c r="C122" s="540">
        <v>8</v>
      </c>
      <c r="D122" s="584">
        <v>44</v>
      </c>
      <c r="E122" s="232">
        <v>61</v>
      </c>
      <c r="F122" s="593">
        <f t="shared" si="16"/>
        <v>-10.29</v>
      </c>
      <c r="G122" s="593">
        <f t="shared" si="15"/>
        <v>138.64</v>
      </c>
    </row>
    <row r="123" s="579" customFormat="1" ht="20.1" customHeight="1" spans="1:7">
      <c r="A123" s="540" t="s">
        <v>376</v>
      </c>
      <c r="B123" s="232">
        <v>398</v>
      </c>
      <c r="C123" s="540">
        <v>602</v>
      </c>
      <c r="D123" s="584">
        <v>627</v>
      </c>
      <c r="E123" s="232">
        <v>636</v>
      </c>
      <c r="F123" s="593">
        <f t="shared" si="16"/>
        <v>59.8</v>
      </c>
      <c r="G123" s="593">
        <f t="shared" si="15"/>
        <v>101.44</v>
      </c>
    </row>
    <row r="124" s="579" customFormat="1" ht="20.1" customHeight="1" spans="1:7">
      <c r="A124" s="540" t="s">
        <v>377</v>
      </c>
      <c r="B124" s="232">
        <v>126</v>
      </c>
      <c r="C124" s="540">
        <v>178</v>
      </c>
      <c r="D124" s="584">
        <v>178</v>
      </c>
      <c r="E124" s="232">
        <v>48</v>
      </c>
      <c r="F124" s="593"/>
      <c r="G124" s="593">
        <f t="shared" si="15"/>
        <v>26.97</v>
      </c>
    </row>
    <row r="125" s="579" customFormat="1" ht="20.1" customHeight="1" spans="1:7">
      <c r="A125" s="540" t="s">
        <v>378</v>
      </c>
      <c r="B125" s="232"/>
      <c r="C125" s="540">
        <v>0</v>
      </c>
      <c r="D125" s="584">
        <v>2916</v>
      </c>
      <c r="E125" s="232"/>
      <c r="F125" s="593">
        <f t="shared" ref="F125:F177" si="17">IF(B125=0,,SUM(E125-B125)/B125*100)</f>
        <v>0</v>
      </c>
      <c r="G125" s="593">
        <f t="shared" si="15"/>
        <v>0</v>
      </c>
    </row>
    <row r="126" s="579" customFormat="1" ht="20.1" customHeight="1" spans="1:7">
      <c r="A126" s="540" t="s">
        <v>379</v>
      </c>
      <c r="B126" s="232"/>
      <c r="C126" s="540">
        <v>0</v>
      </c>
      <c r="D126" s="584">
        <v>2916</v>
      </c>
      <c r="E126" s="232">
        <v>2244</v>
      </c>
      <c r="F126" s="593">
        <f t="shared" si="17"/>
        <v>0</v>
      </c>
      <c r="G126" s="593">
        <f t="shared" si="15"/>
        <v>76.95</v>
      </c>
    </row>
    <row r="127" s="579" customFormat="1" ht="20.1" customHeight="1" spans="1:7">
      <c r="A127" s="540" t="s">
        <v>380</v>
      </c>
      <c r="B127" s="232">
        <v>348</v>
      </c>
      <c r="C127" s="540">
        <v>1974</v>
      </c>
      <c r="D127" s="584">
        <v>820</v>
      </c>
      <c r="E127" s="232">
        <v>461</v>
      </c>
      <c r="F127" s="593">
        <f t="shared" si="17"/>
        <v>32.47</v>
      </c>
      <c r="G127" s="593">
        <f t="shared" si="15"/>
        <v>56.22</v>
      </c>
    </row>
    <row r="128" s="580" customFormat="1" ht="20.1" customHeight="1" spans="1:7">
      <c r="A128" s="583" t="s">
        <v>381</v>
      </c>
      <c r="B128" s="534">
        <f>SUM(B129:B142)</f>
        <v>1142</v>
      </c>
      <c r="C128" s="534">
        <f>SUM(C129:C142)</f>
        <v>4252</v>
      </c>
      <c r="D128" s="534">
        <f>SUM(D129:D142)</f>
        <v>4692</v>
      </c>
      <c r="E128" s="534">
        <f>SUM(E129:E142)</f>
        <v>2116</v>
      </c>
      <c r="F128" s="592">
        <f t="shared" si="17"/>
        <v>85.29</v>
      </c>
      <c r="G128" s="592">
        <f t="shared" si="15"/>
        <v>45.1</v>
      </c>
    </row>
    <row r="129" s="579" customFormat="1" ht="20.1" customHeight="1" spans="1:7">
      <c r="A129" s="539" t="s">
        <v>382</v>
      </c>
      <c r="B129" s="232">
        <v>1</v>
      </c>
      <c r="C129" s="540">
        <v>0</v>
      </c>
      <c r="D129" s="584">
        <v>0</v>
      </c>
      <c r="E129" s="232"/>
      <c r="F129" s="593">
        <f t="shared" si="17"/>
        <v>-100</v>
      </c>
      <c r="G129" s="593"/>
    </row>
    <row r="130" s="579" customFormat="1" ht="20.1" customHeight="1" spans="1:7">
      <c r="A130" s="539" t="s">
        <v>383</v>
      </c>
      <c r="B130" s="232"/>
      <c r="C130" s="540">
        <v>0</v>
      </c>
      <c r="D130" s="584">
        <v>0</v>
      </c>
      <c r="E130" s="232"/>
      <c r="F130" s="593">
        <f t="shared" si="17"/>
        <v>0</v>
      </c>
      <c r="G130" s="593"/>
    </row>
    <row r="131" s="579" customFormat="1" ht="20.1" customHeight="1" spans="1:7">
      <c r="A131" s="539" t="s">
        <v>384</v>
      </c>
      <c r="B131" s="232">
        <v>8</v>
      </c>
      <c r="C131" s="540">
        <v>79</v>
      </c>
      <c r="D131" s="584">
        <v>378</v>
      </c>
      <c r="E131" s="232">
        <v>7</v>
      </c>
      <c r="F131" s="593">
        <f t="shared" si="17"/>
        <v>-12.5</v>
      </c>
      <c r="G131" s="593">
        <f t="shared" ref="G131:G133" si="18">E131/D131*100</f>
        <v>1.85</v>
      </c>
    </row>
    <row r="132" s="579" customFormat="1" ht="20.1" customHeight="1" spans="1:7">
      <c r="A132" s="539" t="s">
        <v>385</v>
      </c>
      <c r="B132" s="232">
        <v>1093</v>
      </c>
      <c r="C132" s="540">
        <v>2059</v>
      </c>
      <c r="D132" s="584">
        <v>1959</v>
      </c>
      <c r="E132" s="232">
        <v>1904</v>
      </c>
      <c r="F132" s="593">
        <f t="shared" si="17"/>
        <v>74.2</v>
      </c>
      <c r="G132" s="593">
        <f t="shared" si="18"/>
        <v>97.19</v>
      </c>
    </row>
    <row r="133" s="579" customFormat="1" ht="20.1" customHeight="1" spans="1:7">
      <c r="A133" s="539" t="s">
        <v>386</v>
      </c>
      <c r="B133" s="232">
        <v>7</v>
      </c>
      <c r="C133" s="540">
        <v>1537</v>
      </c>
      <c r="D133" s="584">
        <v>1901</v>
      </c>
      <c r="E133" s="232">
        <v>156</v>
      </c>
      <c r="F133" s="593">
        <f t="shared" si="17"/>
        <v>2128.57</v>
      </c>
      <c r="G133" s="593">
        <f t="shared" si="18"/>
        <v>8.21</v>
      </c>
    </row>
    <row r="134" s="579" customFormat="1" ht="20.1" customHeight="1" spans="1:7">
      <c r="A134" s="539" t="s">
        <v>387</v>
      </c>
      <c r="B134" s="232"/>
      <c r="C134" s="540">
        <v>0</v>
      </c>
      <c r="D134" s="584">
        <v>0</v>
      </c>
      <c r="E134" s="232"/>
      <c r="F134" s="593">
        <f t="shared" si="17"/>
        <v>0</v>
      </c>
      <c r="G134" s="593"/>
    </row>
    <row r="135" s="579" customFormat="1" ht="20.1" customHeight="1" spans="1:7">
      <c r="A135" s="539" t="s">
        <v>388</v>
      </c>
      <c r="B135" s="232"/>
      <c r="C135" s="540">
        <v>0</v>
      </c>
      <c r="D135" s="584">
        <v>0</v>
      </c>
      <c r="E135" s="232"/>
      <c r="F135" s="593">
        <f t="shared" si="17"/>
        <v>0</v>
      </c>
      <c r="G135" s="593"/>
    </row>
    <row r="136" s="579" customFormat="1" ht="20.1" customHeight="1" spans="1:7">
      <c r="A136" s="539" t="s">
        <v>389</v>
      </c>
      <c r="B136" s="232"/>
      <c r="C136" s="540">
        <v>0</v>
      </c>
      <c r="D136" s="584">
        <v>0</v>
      </c>
      <c r="E136" s="232"/>
      <c r="F136" s="593">
        <f t="shared" si="17"/>
        <v>0</v>
      </c>
      <c r="G136" s="593"/>
    </row>
    <row r="137" s="579" customFormat="1" ht="20.1" customHeight="1" spans="1:7">
      <c r="A137" s="539" t="s">
        <v>390</v>
      </c>
      <c r="B137" s="232">
        <v>13</v>
      </c>
      <c r="C137" s="540">
        <v>0</v>
      </c>
      <c r="D137" s="584">
        <v>183</v>
      </c>
      <c r="E137" s="232"/>
      <c r="F137" s="593">
        <f t="shared" si="17"/>
        <v>-100</v>
      </c>
      <c r="G137" s="593"/>
    </row>
    <row r="138" s="579" customFormat="1" ht="20.1" customHeight="1" spans="1:7">
      <c r="A138" s="539" t="s">
        <v>391</v>
      </c>
      <c r="B138" s="232"/>
      <c r="C138" s="540">
        <v>100</v>
      </c>
      <c r="D138" s="584">
        <v>31</v>
      </c>
      <c r="E138" s="232">
        <v>31</v>
      </c>
      <c r="F138" s="593">
        <f t="shared" si="17"/>
        <v>0</v>
      </c>
      <c r="G138" s="593">
        <f t="shared" ref="G138:G144" si="19">E138/D138*100</f>
        <v>100</v>
      </c>
    </row>
    <row r="139" s="579" customFormat="1" ht="20.1" customHeight="1" spans="1:7">
      <c r="A139" s="539" t="s">
        <v>392</v>
      </c>
      <c r="B139" s="232">
        <v>20</v>
      </c>
      <c r="C139" s="540">
        <v>240</v>
      </c>
      <c r="D139" s="584">
        <v>240</v>
      </c>
      <c r="E139" s="232">
        <v>18</v>
      </c>
      <c r="F139" s="593">
        <f t="shared" si="17"/>
        <v>-10</v>
      </c>
      <c r="G139" s="593">
        <f t="shared" si="19"/>
        <v>7.5</v>
      </c>
    </row>
    <row r="140" s="579" customFormat="1" ht="20.1" customHeight="1" spans="1:7">
      <c r="A140" s="539" t="s">
        <v>393</v>
      </c>
      <c r="B140" s="232"/>
      <c r="C140" s="540">
        <v>0</v>
      </c>
      <c r="D140" s="584">
        <v>0</v>
      </c>
      <c r="E140" s="232"/>
      <c r="F140" s="593">
        <f t="shared" si="17"/>
        <v>0</v>
      </c>
      <c r="G140" s="593"/>
    </row>
    <row r="141" s="579" customFormat="1" ht="20.1" customHeight="1" spans="1:7">
      <c r="A141" s="539" t="s">
        <v>394</v>
      </c>
      <c r="B141" s="232"/>
      <c r="C141" s="540">
        <v>237</v>
      </c>
      <c r="D141" s="584">
        <v>0</v>
      </c>
      <c r="E141" s="232"/>
      <c r="F141" s="593">
        <f t="shared" si="17"/>
        <v>0</v>
      </c>
      <c r="G141" s="593"/>
    </row>
    <row r="142" s="579" customFormat="1" ht="20.1" customHeight="1" spans="1:7">
      <c r="A142" s="539" t="s">
        <v>395</v>
      </c>
      <c r="B142" s="232"/>
      <c r="C142" s="540">
        <v>0</v>
      </c>
      <c r="D142" s="584">
        <v>0</v>
      </c>
      <c r="E142" s="232"/>
      <c r="F142" s="593">
        <f t="shared" si="17"/>
        <v>0</v>
      </c>
      <c r="G142" s="593"/>
    </row>
    <row r="143" s="580" customFormat="1" ht="20.1" customHeight="1" spans="1:7">
      <c r="A143" s="583" t="s">
        <v>396</v>
      </c>
      <c r="B143" s="534">
        <f>SUM(B144:B149)</f>
        <v>3662</v>
      </c>
      <c r="C143" s="534">
        <f>SUM(C144:C149)</f>
        <v>5427</v>
      </c>
      <c r="D143" s="534">
        <f>SUM(D144:D149)</f>
        <v>7689</v>
      </c>
      <c r="E143" s="534">
        <f>SUM(E144:E149)</f>
        <v>4950</v>
      </c>
      <c r="F143" s="592">
        <f t="shared" si="17"/>
        <v>35.17</v>
      </c>
      <c r="G143" s="592">
        <f t="shared" si="19"/>
        <v>64.38</v>
      </c>
    </row>
    <row r="144" s="579" customFormat="1" ht="20.1" customHeight="1" spans="1:7">
      <c r="A144" s="540" t="s">
        <v>397</v>
      </c>
      <c r="B144" s="232">
        <v>2381</v>
      </c>
      <c r="C144" s="540">
        <v>2180</v>
      </c>
      <c r="D144" s="584">
        <v>2234</v>
      </c>
      <c r="E144" s="232">
        <v>2373</v>
      </c>
      <c r="F144" s="593">
        <f t="shared" si="17"/>
        <v>-0.34</v>
      </c>
      <c r="G144" s="593">
        <f t="shared" si="19"/>
        <v>106.22</v>
      </c>
    </row>
    <row r="145" s="579" customFormat="1" ht="20.1" customHeight="1" spans="1:7">
      <c r="A145" s="540" t="s">
        <v>398</v>
      </c>
      <c r="B145" s="232"/>
      <c r="C145" s="540">
        <v>0</v>
      </c>
      <c r="D145" s="584">
        <v>0</v>
      </c>
      <c r="E145" s="232"/>
      <c r="F145" s="593">
        <f t="shared" si="17"/>
        <v>0</v>
      </c>
      <c r="G145" s="593"/>
    </row>
    <row r="146" s="579" customFormat="1" ht="20.1" customHeight="1" spans="1:7">
      <c r="A146" s="540" t="s">
        <v>399</v>
      </c>
      <c r="B146" s="232">
        <v>926</v>
      </c>
      <c r="C146" s="540">
        <v>3011</v>
      </c>
      <c r="D146" s="584">
        <v>3806</v>
      </c>
      <c r="E146" s="232">
        <v>728</v>
      </c>
      <c r="F146" s="593">
        <f t="shared" si="17"/>
        <v>-21.38</v>
      </c>
      <c r="G146" s="593">
        <f t="shared" ref="G146:G161" si="20">E146/D146*100</f>
        <v>19.13</v>
      </c>
    </row>
    <row r="147" s="579" customFormat="1" ht="20.1" customHeight="1" spans="1:7">
      <c r="A147" s="540" t="s">
        <v>400</v>
      </c>
      <c r="B147" s="232">
        <v>100</v>
      </c>
      <c r="C147" s="540">
        <v>32</v>
      </c>
      <c r="D147" s="584">
        <v>429</v>
      </c>
      <c r="E147" s="232">
        <v>526</v>
      </c>
      <c r="F147" s="593">
        <f t="shared" si="17"/>
        <v>426</v>
      </c>
      <c r="G147" s="593">
        <f t="shared" si="20"/>
        <v>122.61</v>
      </c>
    </row>
    <row r="148" s="579" customFormat="1" ht="20.1" customHeight="1" spans="1:7">
      <c r="A148" s="540" t="s">
        <v>401</v>
      </c>
      <c r="B148" s="232"/>
      <c r="C148" s="540">
        <v>0</v>
      </c>
      <c r="D148" s="584">
        <v>0</v>
      </c>
      <c r="E148" s="232"/>
      <c r="F148" s="593">
        <f t="shared" si="17"/>
        <v>0</v>
      </c>
      <c r="G148" s="593"/>
    </row>
    <row r="149" s="579" customFormat="1" ht="20.1" customHeight="1" spans="1:7">
      <c r="A149" s="540" t="s">
        <v>402</v>
      </c>
      <c r="B149" s="232">
        <v>255</v>
      </c>
      <c r="C149" s="540">
        <v>204</v>
      </c>
      <c r="D149" s="584">
        <v>1220</v>
      </c>
      <c r="E149" s="232">
        <v>1323</v>
      </c>
      <c r="F149" s="593">
        <f t="shared" si="17"/>
        <v>418.82</v>
      </c>
      <c r="G149" s="593">
        <f t="shared" si="20"/>
        <v>108.44</v>
      </c>
    </row>
    <row r="150" s="580" customFormat="1" ht="20.1" customHeight="1" spans="1:7">
      <c r="A150" s="583" t="s">
        <v>403</v>
      </c>
      <c r="B150" s="534">
        <f>SUM(B151:B158)</f>
        <v>110919</v>
      </c>
      <c r="C150" s="534">
        <f>SUM(C151:C158)</f>
        <v>109607</v>
      </c>
      <c r="D150" s="534">
        <f>SUM(D151:D158)</f>
        <v>132868</v>
      </c>
      <c r="E150" s="534">
        <f>SUM(E151:E158)</f>
        <v>95785</v>
      </c>
      <c r="F150" s="592">
        <f t="shared" si="17"/>
        <v>-13.64</v>
      </c>
      <c r="G150" s="592">
        <f t="shared" si="20"/>
        <v>72.09</v>
      </c>
    </row>
    <row r="151" s="579" customFormat="1" ht="20.1" customHeight="1" spans="1:7">
      <c r="A151" s="540" t="s">
        <v>404</v>
      </c>
      <c r="B151" s="232">
        <v>9919</v>
      </c>
      <c r="C151" s="540">
        <v>16907</v>
      </c>
      <c r="D151" s="584">
        <v>16134</v>
      </c>
      <c r="E151" s="232">
        <v>13962</v>
      </c>
      <c r="F151" s="593">
        <f t="shared" si="17"/>
        <v>40.76</v>
      </c>
      <c r="G151" s="593">
        <f t="shared" si="20"/>
        <v>86.54</v>
      </c>
    </row>
    <row r="152" s="579" customFormat="1" ht="20.1" customHeight="1" spans="1:7">
      <c r="A152" s="540" t="s">
        <v>405</v>
      </c>
      <c r="B152" s="232">
        <v>13613</v>
      </c>
      <c r="C152" s="540">
        <v>12897</v>
      </c>
      <c r="D152" s="584">
        <v>17524</v>
      </c>
      <c r="E152" s="232">
        <v>9419</v>
      </c>
      <c r="F152" s="593">
        <f t="shared" si="17"/>
        <v>-30.81</v>
      </c>
      <c r="G152" s="593">
        <f t="shared" si="20"/>
        <v>53.75</v>
      </c>
    </row>
    <row r="153" s="579" customFormat="1" ht="20.1" customHeight="1" spans="1:7">
      <c r="A153" s="540" t="s">
        <v>406</v>
      </c>
      <c r="B153" s="232">
        <v>2975</v>
      </c>
      <c r="C153" s="540">
        <v>4744</v>
      </c>
      <c r="D153" s="584">
        <v>7048</v>
      </c>
      <c r="E153" s="232">
        <v>3322</v>
      </c>
      <c r="F153" s="593">
        <f t="shared" si="17"/>
        <v>11.66</v>
      </c>
      <c r="G153" s="593">
        <f t="shared" si="20"/>
        <v>47.13</v>
      </c>
    </row>
    <row r="154" s="579" customFormat="1" ht="20.1" customHeight="1" spans="1:7">
      <c r="A154" s="540" t="s">
        <v>407</v>
      </c>
      <c r="B154" s="232">
        <v>77182</v>
      </c>
      <c r="C154" s="540">
        <v>46919</v>
      </c>
      <c r="D154" s="595">
        <v>67350</v>
      </c>
      <c r="E154" s="232">
        <v>60021</v>
      </c>
      <c r="F154" s="593">
        <f t="shared" si="17"/>
        <v>-22.23</v>
      </c>
      <c r="G154" s="593">
        <f t="shared" si="20"/>
        <v>89.12</v>
      </c>
    </row>
    <row r="155" s="579" customFormat="1" ht="20.1" customHeight="1" spans="1:7">
      <c r="A155" s="540" t="s">
        <v>408</v>
      </c>
      <c r="B155" s="232">
        <v>5045</v>
      </c>
      <c r="C155" s="540">
        <v>9065</v>
      </c>
      <c r="D155" s="584">
        <v>6057</v>
      </c>
      <c r="E155" s="232">
        <v>7043</v>
      </c>
      <c r="F155" s="593">
        <f t="shared" si="17"/>
        <v>39.6</v>
      </c>
      <c r="G155" s="593">
        <f t="shared" si="20"/>
        <v>116.28</v>
      </c>
    </row>
    <row r="156" s="579" customFormat="1" ht="20.1" customHeight="1" spans="1:7">
      <c r="A156" s="540" t="s">
        <v>409</v>
      </c>
      <c r="B156" s="232">
        <v>478</v>
      </c>
      <c r="C156" s="540">
        <v>953</v>
      </c>
      <c r="D156" s="584">
        <v>1251</v>
      </c>
      <c r="E156" s="232">
        <v>258</v>
      </c>
      <c r="F156" s="593">
        <f t="shared" si="17"/>
        <v>-46.03</v>
      </c>
      <c r="G156" s="593">
        <f t="shared" si="20"/>
        <v>20.62</v>
      </c>
    </row>
    <row r="157" s="579" customFormat="1" ht="20.1" customHeight="1" spans="1:7">
      <c r="A157" s="540" t="s">
        <v>410</v>
      </c>
      <c r="B157" s="232">
        <v>1</v>
      </c>
      <c r="C157" s="540">
        <v>0</v>
      </c>
      <c r="D157" s="584">
        <v>169</v>
      </c>
      <c r="E157" s="232"/>
      <c r="F157" s="593">
        <f t="shared" si="17"/>
        <v>-100</v>
      </c>
      <c r="G157" s="593">
        <f t="shared" si="20"/>
        <v>0</v>
      </c>
    </row>
    <row r="158" s="579" customFormat="1" ht="20.1" customHeight="1" spans="1:7">
      <c r="A158" s="540" t="s">
        <v>411</v>
      </c>
      <c r="B158" s="232">
        <v>1706</v>
      </c>
      <c r="C158" s="540">
        <v>18122</v>
      </c>
      <c r="D158" s="584">
        <v>17335</v>
      </c>
      <c r="E158" s="232">
        <v>1760</v>
      </c>
      <c r="F158" s="593">
        <f t="shared" si="17"/>
        <v>3.17</v>
      </c>
      <c r="G158" s="593">
        <f t="shared" si="20"/>
        <v>10.15</v>
      </c>
    </row>
    <row r="159" s="580" customFormat="1" ht="20.1" customHeight="1" spans="1:7">
      <c r="A159" s="583" t="s">
        <v>412</v>
      </c>
      <c r="B159" s="534">
        <f>SUM(B160:B164)</f>
        <v>2003</v>
      </c>
      <c r="C159" s="534">
        <f>SUM(C160:C164)</f>
        <v>18242</v>
      </c>
      <c r="D159" s="534">
        <f>SUM(D160:D164)</f>
        <v>17842</v>
      </c>
      <c r="E159" s="534">
        <f>SUM(E160:E164)</f>
        <v>2394</v>
      </c>
      <c r="F159" s="592">
        <f t="shared" si="17"/>
        <v>19.52</v>
      </c>
      <c r="G159" s="592">
        <f t="shared" si="20"/>
        <v>13.42</v>
      </c>
    </row>
    <row r="160" s="579" customFormat="1" ht="20.1" customHeight="1" spans="1:7">
      <c r="A160" s="540" t="s">
        <v>413</v>
      </c>
      <c r="B160" s="232">
        <v>1651</v>
      </c>
      <c r="C160" s="540">
        <v>18102</v>
      </c>
      <c r="D160" s="584">
        <v>16798</v>
      </c>
      <c r="E160" s="232">
        <v>2383</v>
      </c>
      <c r="F160" s="593">
        <f t="shared" si="17"/>
        <v>44.34</v>
      </c>
      <c r="G160" s="593">
        <f t="shared" si="20"/>
        <v>14.19</v>
      </c>
    </row>
    <row r="161" s="579" customFormat="1" ht="20.1" customHeight="1" spans="1:7">
      <c r="A161" s="540" t="s">
        <v>414</v>
      </c>
      <c r="B161" s="232"/>
      <c r="C161" s="540">
        <v>8</v>
      </c>
      <c r="D161" s="584">
        <v>8</v>
      </c>
      <c r="E161" s="232">
        <v>7</v>
      </c>
      <c r="F161" s="593">
        <f t="shared" si="17"/>
        <v>0</v>
      </c>
      <c r="G161" s="593">
        <f t="shared" si="20"/>
        <v>87.5</v>
      </c>
    </row>
    <row r="162" s="579" customFormat="1" ht="20.1" customHeight="1" spans="1:7">
      <c r="A162" s="540" t="s">
        <v>415</v>
      </c>
      <c r="B162" s="232"/>
      <c r="C162" s="540">
        <v>0</v>
      </c>
      <c r="D162" s="584">
        <v>0</v>
      </c>
      <c r="E162" s="232"/>
      <c r="F162" s="593">
        <f t="shared" si="17"/>
        <v>0</v>
      </c>
      <c r="G162" s="593"/>
    </row>
    <row r="163" s="579" customFormat="1" ht="20.1" customHeight="1" spans="1:7">
      <c r="A163" s="540" t="s">
        <v>416</v>
      </c>
      <c r="B163" s="232"/>
      <c r="C163" s="540">
        <v>0</v>
      </c>
      <c r="D163" s="584">
        <v>0</v>
      </c>
      <c r="E163" s="232"/>
      <c r="F163" s="593">
        <f t="shared" si="17"/>
        <v>0</v>
      </c>
      <c r="G163" s="593"/>
    </row>
    <row r="164" s="579" customFormat="1" ht="20.1" customHeight="1" spans="1:7">
      <c r="A164" s="540" t="s">
        <v>417</v>
      </c>
      <c r="B164" s="232">
        <v>352</v>
      </c>
      <c r="C164" s="540">
        <v>132</v>
      </c>
      <c r="D164" s="584">
        <v>1036</v>
      </c>
      <c r="E164" s="232">
        <v>4</v>
      </c>
      <c r="F164" s="593">
        <f t="shared" si="17"/>
        <v>-98.86</v>
      </c>
      <c r="G164" s="593"/>
    </row>
    <row r="165" s="580" customFormat="1" ht="20.1" customHeight="1" spans="1:7">
      <c r="A165" s="583" t="s">
        <v>418</v>
      </c>
      <c r="B165" s="534">
        <f>SUM(B166:B172)</f>
        <v>1110</v>
      </c>
      <c r="C165" s="534">
        <f>SUM(C166:C172)</f>
        <v>753</v>
      </c>
      <c r="D165" s="534">
        <f>SUM(D166:D172)</f>
        <v>1301</v>
      </c>
      <c r="E165" s="534">
        <f>SUM(E166:E172)</f>
        <v>889</v>
      </c>
      <c r="F165" s="592">
        <f t="shared" si="17"/>
        <v>-19.91</v>
      </c>
      <c r="G165" s="592">
        <f t="shared" ref="G165:G167" si="21">E165/D165*100</f>
        <v>68.33</v>
      </c>
    </row>
    <row r="166" s="579" customFormat="1" ht="20.1" customHeight="1" spans="1:7">
      <c r="A166" s="540" t="s">
        <v>419</v>
      </c>
      <c r="B166" s="232">
        <v>37</v>
      </c>
      <c r="C166" s="540">
        <v>0</v>
      </c>
      <c r="D166" s="584">
        <v>22</v>
      </c>
      <c r="E166" s="232">
        <v>33</v>
      </c>
      <c r="F166" s="593">
        <f t="shared" si="17"/>
        <v>-10.81</v>
      </c>
      <c r="G166" s="593">
        <f t="shared" si="21"/>
        <v>150</v>
      </c>
    </row>
    <row r="167" s="579" customFormat="1" ht="20.1" customHeight="1" spans="1:7">
      <c r="A167" s="540" t="s">
        <v>420</v>
      </c>
      <c r="B167" s="232">
        <v>324</v>
      </c>
      <c r="C167" s="540">
        <v>153</v>
      </c>
      <c r="D167" s="584">
        <v>345</v>
      </c>
      <c r="E167" s="232">
        <v>256</v>
      </c>
      <c r="F167" s="593">
        <f t="shared" si="17"/>
        <v>-20.99</v>
      </c>
      <c r="G167" s="593">
        <f t="shared" si="21"/>
        <v>74.2</v>
      </c>
    </row>
    <row r="168" s="579" customFormat="1" ht="20.1" customHeight="1" spans="1:7">
      <c r="A168" s="540" t="s">
        <v>421</v>
      </c>
      <c r="B168" s="232"/>
      <c r="C168" s="540">
        <v>0</v>
      </c>
      <c r="D168" s="584">
        <v>0</v>
      </c>
      <c r="E168" s="232"/>
      <c r="F168" s="593">
        <f t="shared" si="17"/>
        <v>0</v>
      </c>
      <c r="G168" s="593"/>
    </row>
    <row r="169" s="579" customFormat="1" ht="20.1" customHeight="1" spans="1:7">
      <c r="A169" s="540" t="s">
        <v>422</v>
      </c>
      <c r="B169" s="232">
        <v>49</v>
      </c>
      <c r="C169" s="540">
        <v>0</v>
      </c>
      <c r="D169" s="584">
        <v>2</v>
      </c>
      <c r="E169" s="232"/>
      <c r="F169" s="593">
        <f t="shared" si="17"/>
        <v>-100</v>
      </c>
      <c r="G169" s="593">
        <f t="shared" ref="G169:G174" si="22">E169/D169*100</f>
        <v>0</v>
      </c>
    </row>
    <row r="170" s="579" customFormat="1" ht="20.1" customHeight="1" spans="1:7">
      <c r="A170" s="540" t="s">
        <v>423</v>
      </c>
      <c r="B170" s="232"/>
      <c r="C170" s="540">
        <v>0</v>
      </c>
      <c r="D170" s="584">
        <v>0</v>
      </c>
      <c r="E170" s="232"/>
      <c r="F170" s="593">
        <f t="shared" si="17"/>
        <v>0</v>
      </c>
      <c r="G170" s="593"/>
    </row>
    <row r="171" s="579" customFormat="1" ht="20.1" customHeight="1" spans="1:7">
      <c r="A171" s="540" t="s">
        <v>424</v>
      </c>
      <c r="B171" s="232"/>
      <c r="C171" s="540">
        <v>0</v>
      </c>
      <c r="D171" s="584">
        <v>320</v>
      </c>
      <c r="E171" s="232"/>
      <c r="F171" s="593">
        <f t="shared" si="17"/>
        <v>0</v>
      </c>
      <c r="G171" s="593">
        <f t="shared" si="22"/>
        <v>0</v>
      </c>
    </row>
    <row r="172" s="579" customFormat="1" ht="20.1" customHeight="1" spans="1:7">
      <c r="A172" s="540" t="s">
        <v>425</v>
      </c>
      <c r="B172" s="232">
        <v>700</v>
      </c>
      <c r="C172" s="540">
        <v>600</v>
      </c>
      <c r="D172" s="584">
        <v>612</v>
      </c>
      <c r="E172" s="232">
        <v>600</v>
      </c>
      <c r="F172" s="593">
        <f t="shared" si="17"/>
        <v>-14.29</v>
      </c>
      <c r="G172" s="593">
        <f t="shared" si="22"/>
        <v>98.04</v>
      </c>
    </row>
    <row r="173" s="580" customFormat="1" ht="20.1" customHeight="1" spans="1:7">
      <c r="A173" s="583" t="s">
        <v>426</v>
      </c>
      <c r="B173" s="534">
        <f>SUM(B174:B176)</f>
        <v>538</v>
      </c>
      <c r="C173" s="534">
        <f>SUM(C174:C176)</f>
        <v>107</v>
      </c>
      <c r="D173" s="534">
        <f>SUM(D174:D176)</f>
        <v>129</v>
      </c>
      <c r="E173" s="534">
        <f>SUM(E174:E176)</f>
        <v>128</v>
      </c>
      <c r="F173" s="592">
        <f t="shared" si="17"/>
        <v>-76.21</v>
      </c>
      <c r="G173" s="592">
        <f t="shared" si="22"/>
        <v>99.22</v>
      </c>
    </row>
    <row r="174" s="579" customFormat="1" ht="20.1" customHeight="1" spans="1:7">
      <c r="A174" s="540" t="s">
        <v>427</v>
      </c>
      <c r="B174" s="232">
        <v>538</v>
      </c>
      <c r="C174" s="540">
        <v>107</v>
      </c>
      <c r="D174" s="584">
        <v>129</v>
      </c>
      <c r="E174" s="232">
        <v>128</v>
      </c>
      <c r="F174" s="593">
        <f t="shared" si="17"/>
        <v>-76.21</v>
      </c>
      <c r="G174" s="593">
        <f t="shared" si="22"/>
        <v>99.22</v>
      </c>
    </row>
    <row r="175" s="579" customFormat="1" ht="20.1" customHeight="1" spans="1:7">
      <c r="A175" s="540" t="s">
        <v>428</v>
      </c>
      <c r="B175" s="232"/>
      <c r="C175" s="540"/>
      <c r="D175" s="584"/>
      <c r="E175" s="232">
        <v>0</v>
      </c>
      <c r="F175" s="593">
        <f t="shared" si="17"/>
        <v>0</v>
      </c>
      <c r="G175" s="593"/>
    </row>
    <row r="176" s="579" customFormat="1" ht="20.1" customHeight="1" spans="1:7">
      <c r="A176" s="540" t="s">
        <v>429</v>
      </c>
      <c r="B176" s="232"/>
      <c r="C176" s="540">
        <v>0</v>
      </c>
      <c r="D176" s="584"/>
      <c r="E176" s="232">
        <v>0</v>
      </c>
      <c r="F176" s="593">
        <f t="shared" si="17"/>
        <v>0</v>
      </c>
      <c r="G176" s="593"/>
    </row>
    <row r="177" s="580" customFormat="1" ht="20.1" customHeight="1" spans="1:7">
      <c r="A177" s="583" t="s">
        <v>430</v>
      </c>
      <c r="B177" s="534">
        <f>SUM(B178:B182)</f>
        <v>65</v>
      </c>
      <c r="C177" s="534">
        <f>SUM(C178:C182)</f>
        <v>0</v>
      </c>
      <c r="D177" s="534">
        <f>SUM(D178:D182)</f>
        <v>793</v>
      </c>
      <c r="E177" s="534">
        <f>SUM(E178:E182)</f>
        <v>37</v>
      </c>
      <c r="F177" s="592">
        <f t="shared" si="17"/>
        <v>-43.08</v>
      </c>
      <c r="G177" s="592">
        <f>E177/D177*100</f>
        <v>4.67</v>
      </c>
    </row>
    <row r="178" s="580" customFormat="1" ht="20.1" customHeight="1" spans="1:7">
      <c r="A178" s="539" t="s">
        <v>431</v>
      </c>
      <c r="B178" s="534"/>
      <c r="C178" s="534"/>
      <c r="D178" s="584">
        <v>19</v>
      </c>
      <c r="E178" s="232">
        <v>19</v>
      </c>
      <c r="F178" s="592"/>
      <c r="G178" s="592"/>
    </row>
    <row r="179" s="580" customFormat="1" ht="20.1" customHeight="1" spans="1:7">
      <c r="A179" s="539" t="s">
        <v>432</v>
      </c>
      <c r="B179" s="534"/>
      <c r="C179" s="534"/>
      <c r="D179" s="584"/>
      <c r="E179" s="232"/>
      <c r="F179" s="592"/>
      <c r="G179" s="592"/>
    </row>
    <row r="180" s="579" customFormat="1" ht="20.1" customHeight="1" spans="1:7">
      <c r="A180" s="539" t="s">
        <v>433</v>
      </c>
      <c r="B180" s="232">
        <v>65</v>
      </c>
      <c r="C180" s="540"/>
      <c r="D180" s="584">
        <v>774</v>
      </c>
      <c r="E180" s="232">
        <v>18</v>
      </c>
      <c r="F180" s="593">
        <f t="shared" ref="F180:F225" si="23">IF(B180=0,,SUM(E180-B180)/B180*100)</f>
        <v>-72.31</v>
      </c>
      <c r="G180" s="593"/>
    </row>
    <row r="181" s="579" customFormat="1" ht="20.1" customHeight="1" spans="1:7">
      <c r="A181" s="539" t="s">
        <v>434</v>
      </c>
      <c r="B181" s="232"/>
      <c r="C181" s="540"/>
      <c r="D181" s="584"/>
      <c r="E181" s="232"/>
      <c r="F181" s="593">
        <f t="shared" si="23"/>
        <v>0</v>
      </c>
      <c r="G181" s="593"/>
    </row>
    <row r="182" s="579" customFormat="1" ht="20.1" customHeight="1" spans="1:7">
      <c r="A182" s="539" t="s">
        <v>435</v>
      </c>
      <c r="B182" s="232"/>
      <c r="C182" s="540"/>
      <c r="D182" s="584"/>
      <c r="E182" s="232"/>
      <c r="F182" s="593">
        <f t="shared" si="23"/>
        <v>0</v>
      </c>
      <c r="G182" s="593"/>
    </row>
    <row r="183" s="580" customFormat="1" ht="20.1" customHeight="1" spans="1:7">
      <c r="A183" s="583" t="s">
        <v>436</v>
      </c>
      <c r="B183" s="534">
        <f>SUM(B184:B192)</f>
        <v>0</v>
      </c>
      <c r="C183" s="534">
        <f>SUM(C184:C192)</f>
        <v>0</v>
      </c>
      <c r="D183" s="534">
        <f>SUM(D184:D192)</f>
        <v>0</v>
      </c>
      <c r="E183" s="534">
        <f>SUM(E184:E192)</f>
        <v>0</v>
      </c>
      <c r="F183" s="592">
        <f t="shared" si="23"/>
        <v>0</v>
      </c>
      <c r="G183" s="592"/>
    </row>
    <row r="184" s="579" customFormat="1" ht="14.25" customHeight="1" spans="1:7">
      <c r="A184" s="540" t="s">
        <v>437</v>
      </c>
      <c r="B184" s="232">
        <v>0</v>
      </c>
      <c r="C184" s="540">
        <v>0</v>
      </c>
      <c r="D184" s="584">
        <v>0</v>
      </c>
      <c r="E184" s="232">
        <v>0</v>
      </c>
      <c r="F184" s="593">
        <f t="shared" si="23"/>
        <v>0</v>
      </c>
      <c r="G184" s="593"/>
    </row>
    <row r="185" s="579" customFormat="1" ht="14.25" customHeight="1" spans="1:7">
      <c r="A185" s="540" t="s">
        <v>438</v>
      </c>
      <c r="B185" s="232">
        <v>0</v>
      </c>
      <c r="C185" s="540">
        <v>0</v>
      </c>
      <c r="D185" s="584">
        <v>0</v>
      </c>
      <c r="E185" s="232">
        <v>0</v>
      </c>
      <c r="F185" s="593">
        <f t="shared" si="23"/>
        <v>0</v>
      </c>
      <c r="G185" s="593"/>
    </row>
    <row r="186" s="579" customFormat="1" ht="14.25" customHeight="1" spans="1:7">
      <c r="A186" s="540" t="s">
        <v>439</v>
      </c>
      <c r="B186" s="232">
        <v>0</v>
      </c>
      <c r="C186" s="540">
        <v>0</v>
      </c>
      <c r="D186" s="584">
        <v>0</v>
      </c>
      <c r="E186" s="232">
        <v>0</v>
      </c>
      <c r="F186" s="593">
        <f t="shared" si="23"/>
        <v>0</v>
      </c>
      <c r="G186" s="593"/>
    </row>
    <row r="187" s="579" customFormat="1" ht="14.25" customHeight="1" spans="1:7">
      <c r="A187" s="540" t="s">
        <v>440</v>
      </c>
      <c r="B187" s="232">
        <v>0</v>
      </c>
      <c r="C187" s="540">
        <v>0</v>
      </c>
      <c r="D187" s="584">
        <v>0</v>
      </c>
      <c r="E187" s="232">
        <v>0</v>
      </c>
      <c r="F187" s="593">
        <f t="shared" si="23"/>
        <v>0</v>
      </c>
      <c r="G187" s="593"/>
    </row>
    <row r="188" s="579" customFormat="1" ht="14.25" customHeight="1" spans="1:7">
      <c r="A188" s="540" t="s">
        <v>441</v>
      </c>
      <c r="B188" s="232">
        <v>0</v>
      </c>
      <c r="C188" s="540">
        <v>0</v>
      </c>
      <c r="D188" s="584">
        <v>0</v>
      </c>
      <c r="E188" s="232">
        <v>0</v>
      </c>
      <c r="F188" s="593">
        <f t="shared" si="23"/>
        <v>0</v>
      </c>
      <c r="G188" s="593"/>
    </row>
    <row r="189" s="579" customFormat="1" ht="14.25" customHeight="1" spans="1:7">
      <c r="A189" s="540" t="s">
        <v>442</v>
      </c>
      <c r="B189" s="232">
        <v>0</v>
      </c>
      <c r="C189" s="540">
        <v>0</v>
      </c>
      <c r="D189" s="584">
        <v>0</v>
      </c>
      <c r="E189" s="232">
        <v>0</v>
      </c>
      <c r="F189" s="593">
        <f t="shared" si="23"/>
        <v>0</v>
      </c>
      <c r="G189" s="593"/>
    </row>
    <row r="190" s="579" customFormat="1" ht="14.25" customHeight="1" spans="1:7">
      <c r="A190" s="540" t="s">
        <v>443</v>
      </c>
      <c r="B190" s="232">
        <v>0</v>
      </c>
      <c r="C190" s="540">
        <v>0</v>
      </c>
      <c r="D190" s="584">
        <v>0</v>
      </c>
      <c r="E190" s="232">
        <v>0</v>
      </c>
      <c r="F190" s="593">
        <f t="shared" si="23"/>
        <v>0</v>
      </c>
      <c r="G190" s="593"/>
    </row>
    <row r="191" s="579" customFormat="1" ht="14.25" customHeight="1" spans="1:7">
      <c r="A191" s="540" t="s">
        <v>444</v>
      </c>
      <c r="B191" s="232">
        <v>0</v>
      </c>
      <c r="C191" s="540">
        <v>0</v>
      </c>
      <c r="D191" s="584">
        <v>0</v>
      </c>
      <c r="E191" s="232">
        <v>0</v>
      </c>
      <c r="F191" s="593">
        <f t="shared" si="23"/>
        <v>0</v>
      </c>
      <c r="G191" s="593"/>
    </row>
    <row r="192" s="579" customFormat="1" ht="20.1" customHeight="1" spans="1:7">
      <c r="A192" s="540" t="s">
        <v>445</v>
      </c>
      <c r="B192" s="232">
        <v>0</v>
      </c>
      <c r="C192" s="540">
        <v>0</v>
      </c>
      <c r="D192" s="584">
        <v>0</v>
      </c>
      <c r="E192" s="232">
        <v>0</v>
      </c>
      <c r="F192" s="593">
        <f t="shared" si="23"/>
        <v>0</v>
      </c>
      <c r="G192" s="593"/>
    </row>
    <row r="193" s="580" customFormat="1" ht="20.1" customHeight="1" spans="1:7">
      <c r="A193" s="583" t="s">
        <v>446</v>
      </c>
      <c r="B193" s="534">
        <f>SUM(B194:B196)</f>
        <v>1185</v>
      </c>
      <c r="C193" s="534">
        <f>SUM(C194:C196)</f>
        <v>974</v>
      </c>
      <c r="D193" s="534">
        <f>SUM(D194:D196)</f>
        <v>1781</v>
      </c>
      <c r="E193" s="534">
        <f>SUM(E194:E196)</f>
        <v>1098</v>
      </c>
      <c r="F193" s="592">
        <f t="shared" si="23"/>
        <v>-7.34</v>
      </c>
      <c r="G193" s="592">
        <f t="shared" ref="G193:G195" si="24">E193/D193*100</f>
        <v>61.65</v>
      </c>
    </row>
    <row r="194" s="579" customFormat="1" ht="20.1" customHeight="1" spans="1:7">
      <c r="A194" s="540" t="s">
        <v>447</v>
      </c>
      <c r="B194" s="232">
        <v>1132</v>
      </c>
      <c r="C194" s="236">
        <v>888</v>
      </c>
      <c r="D194" s="584">
        <v>1695</v>
      </c>
      <c r="E194" s="232">
        <v>1033</v>
      </c>
      <c r="F194" s="593">
        <f t="shared" si="23"/>
        <v>-8.75</v>
      </c>
      <c r="G194" s="593">
        <f t="shared" si="24"/>
        <v>60.94</v>
      </c>
    </row>
    <row r="195" s="579" customFormat="1" ht="20.1" customHeight="1" spans="1:7">
      <c r="A195" s="540" t="s">
        <v>448</v>
      </c>
      <c r="B195" s="232">
        <v>53</v>
      </c>
      <c r="C195" s="236">
        <v>86</v>
      </c>
      <c r="D195" s="584">
        <v>86</v>
      </c>
      <c r="E195" s="232">
        <v>65</v>
      </c>
      <c r="F195" s="593">
        <f t="shared" si="23"/>
        <v>22.64</v>
      </c>
      <c r="G195" s="593">
        <f t="shared" si="24"/>
        <v>75.58</v>
      </c>
    </row>
    <row r="196" s="579" customFormat="1" ht="20.1" customHeight="1" spans="1:7">
      <c r="A196" s="540" t="s">
        <v>449</v>
      </c>
      <c r="B196" s="232"/>
      <c r="C196" s="540"/>
      <c r="D196" s="584">
        <v>0</v>
      </c>
      <c r="E196" s="232"/>
      <c r="F196" s="593">
        <f t="shared" si="23"/>
        <v>0</v>
      </c>
      <c r="G196" s="593"/>
    </row>
    <row r="197" s="580" customFormat="1" ht="20.1" customHeight="1" spans="1:7">
      <c r="A197" s="583" t="s">
        <v>450</v>
      </c>
      <c r="B197" s="534">
        <f>SUM(B198:B200)</f>
        <v>9689</v>
      </c>
      <c r="C197" s="534">
        <f>SUM(C198:C200)</f>
        <v>4831</v>
      </c>
      <c r="D197" s="534">
        <f>SUM(D198:D200)</f>
        <v>8507</v>
      </c>
      <c r="E197" s="534">
        <f>SUM(E198:E200)</f>
        <v>8436</v>
      </c>
      <c r="F197" s="592">
        <f t="shared" si="23"/>
        <v>-12.93</v>
      </c>
      <c r="G197" s="592">
        <f t="shared" ref="G197:G199" si="25">E197/D197*100</f>
        <v>99.17</v>
      </c>
    </row>
    <row r="198" s="579" customFormat="1" ht="20.1" customHeight="1" spans="1:7">
      <c r="A198" s="540" t="s">
        <v>451</v>
      </c>
      <c r="B198" s="232">
        <v>530</v>
      </c>
      <c r="C198" s="540">
        <v>920</v>
      </c>
      <c r="D198" s="584">
        <v>1417</v>
      </c>
      <c r="E198" s="232">
        <v>790</v>
      </c>
      <c r="F198" s="593">
        <f t="shared" si="23"/>
        <v>49.06</v>
      </c>
      <c r="G198" s="593">
        <f t="shared" si="25"/>
        <v>55.75</v>
      </c>
    </row>
    <row r="199" s="579" customFormat="1" ht="20.1" customHeight="1" spans="1:7">
      <c r="A199" s="540" t="s">
        <v>452</v>
      </c>
      <c r="B199" s="232">
        <v>9159</v>
      </c>
      <c r="C199" s="540">
        <v>3911</v>
      </c>
      <c r="D199" s="584">
        <v>7090</v>
      </c>
      <c r="E199" s="232">
        <v>7646</v>
      </c>
      <c r="F199" s="593">
        <f t="shared" si="23"/>
        <v>-16.52</v>
      </c>
      <c r="G199" s="593">
        <f t="shared" si="25"/>
        <v>107.84</v>
      </c>
    </row>
    <row r="200" s="579" customFormat="1" ht="20.1" customHeight="1" spans="1:7">
      <c r="A200" s="540" t="s">
        <v>453</v>
      </c>
      <c r="B200" s="232"/>
      <c r="C200" s="540"/>
      <c r="D200" s="584"/>
      <c r="E200" s="232"/>
      <c r="F200" s="593">
        <f t="shared" si="23"/>
        <v>0</v>
      </c>
      <c r="G200" s="593"/>
    </row>
    <row r="201" s="580" customFormat="1" ht="20.1" customHeight="1" spans="1:7">
      <c r="A201" s="583" t="s">
        <v>454</v>
      </c>
      <c r="B201" s="534">
        <f>SUM(B202:B205)</f>
        <v>146</v>
      </c>
      <c r="C201" s="534">
        <f>SUM(C202:C205)</f>
        <v>97</v>
      </c>
      <c r="D201" s="534">
        <f>SUM(D202:D205)</f>
        <v>97</v>
      </c>
      <c r="E201" s="534">
        <f>SUM(E202:E205)</f>
        <v>112</v>
      </c>
      <c r="F201" s="592">
        <f t="shared" si="23"/>
        <v>-23.29</v>
      </c>
      <c r="G201" s="592">
        <f t="shared" ref="G201:G208" si="26">E201/D201*100</f>
        <v>115.46</v>
      </c>
    </row>
    <row r="202" s="579" customFormat="1" ht="20.1" customHeight="1" spans="1:7">
      <c r="A202" s="540" t="s">
        <v>455</v>
      </c>
      <c r="B202" s="232">
        <v>116</v>
      </c>
      <c r="C202" s="540">
        <v>97</v>
      </c>
      <c r="D202" s="584">
        <v>97</v>
      </c>
      <c r="E202" s="232">
        <v>112</v>
      </c>
      <c r="F202" s="593">
        <f t="shared" si="23"/>
        <v>-3.45</v>
      </c>
      <c r="G202" s="593">
        <f t="shared" si="26"/>
        <v>115.46</v>
      </c>
    </row>
    <row r="203" s="579" customFormat="1" ht="20.1" customHeight="1" spans="1:7">
      <c r="A203" s="540" t="s">
        <v>456</v>
      </c>
      <c r="B203" s="232"/>
      <c r="C203" s="540"/>
      <c r="D203" s="584"/>
      <c r="E203" s="232"/>
      <c r="F203" s="593">
        <f t="shared" si="23"/>
        <v>0</v>
      </c>
      <c r="G203" s="593"/>
    </row>
    <row r="204" s="579" customFormat="1" ht="20.1" customHeight="1" spans="1:7">
      <c r="A204" s="540" t="s">
        <v>457</v>
      </c>
      <c r="B204" s="232">
        <v>30</v>
      </c>
      <c r="C204" s="540"/>
      <c r="D204" s="584"/>
      <c r="E204" s="232"/>
      <c r="F204" s="593">
        <f t="shared" si="23"/>
        <v>-100</v>
      </c>
      <c r="G204" s="593"/>
    </row>
    <row r="205" s="579" customFormat="1" ht="20.1" customHeight="1" spans="1:7">
      <c r="A205" s="540" t="s">
        <v>458</v>
      </c>
      <c r="B205" s="232"/>
      <c r="C205" s="540"/>
      <c r="D205" s="584">
        <v>0</v>
      </c>
      <c r="E205" s="232">
        <v>0</v>
      </c>
      <c r="F205" s="593">
        <f t="shared" si="23"/>
        <v>0</v>
      </c>
      <c r="G205" s="593"/>
    </row>
    <row r="206" s="580" customFormat="1" ht="20.1" customHeight="1" spans="1:7">
      <c r="A206" s="139" t="s">
        <v>459</v>
      </c>
      <c r="B206" s="534">
        <f>SUM(B207:B213)</f>
        <v>2461</v>
      </c>
      <c r="C206" s="534">
        <f>SUM(C207:C213)</f>
        <v>3285</v>
      </c>
      <c r="D206" s="534">
        <f>SUM(D207:D213)</f>
        <v>3578</v>
      </c>
      <c r="E206" s="534">
        <f>SUM(E207:E213)</f>
        <v>2480</v>
      </c>
      <c r="F206" s="592">
        <f t="shared" si="23"/>
        <v>0.77</v>
      </c>
      <c r="G206" s="592">
        <f t="shared" si="26"/>
        <v>69.31</v>
      </c>
    </row>
    <row r="207" s="579" customFormat="1" ht="20.1" customHeight="1" spans="1:7">
      <c r="A207" s="539" t="s">
        <v>460</v>
      </c>
      <c r="B207" s="232">
        <v>410</v>
      </c>
      <c r="C207" s="540">
        <v>467</v>
      </c>
      <c r="D207" s="584">
        <v>535</v>
      </c>
      <c r="E207" s="232">
        <v>474</v>
      </c>
      <c r="F207" s="593">
        <f t="shared" si="23"/>
        <v>15.61</v>
      </c>
      <c r="G207" s="593">
        <f t="shared" si="26"/>
        <v>88.6</v>
      </c>
    </row>
    <row r="208" s="579" customFormat="1" ht="20.1" customHeight="1" spans="1:7">
      <c r="A208" s="539" t="s">
        <v>461</v>
      </c>
      <c r="B208" s="232">
        <v>679</v>
      </c>
      <c r="C208" s="540">
        <v>908</v>
      </c>
      <c r="D208" s="584">
        <v>928</v>
      </c>
      <c r="E208" s="232">
        <v>961</v>
      </c>
      <c r="F208" s="593">
        <f t="shared" si="23"/>
        <v>41.53</v>
      </c>
      <c r="G208" s="593">
        <f t="shared" si="26"/>
        <v>103.56</v>
      </c>
    </row>
    <row r="209" s="579" customFormat="1" ht="20.1" customHeight="1" spans="1:7">
      <c r="A209" s="539" t="s">
        <v>462</v>
      </c>
      <c r="B209" s="232"/>
      <c r="C209" s="540">
        <v>0</v>
      </c>
      <c r="D209" s="584">
        <v>0</v>
      </c>
      <c r="E209" s="232"/>
      <c r="F209" s="593">
        <f t="shared" si="23"/>
        <v>0</v>
      </c>
      <c r="G209" s="593"/>
    </row>
    <row r="210" s="579" customFormat="1" ht="20.1" customHeight="1" spans="1:7">
      <c r="A210" s="539" t="s">
        <v>463</v>
      </c>
      <c r="B210" s="232"/>
      <c r="C210" s="540">
        <v>0</v>
      </c>
      <c r="D210" s="584">
        <v>0</v>
      </c>
      <c r="E210" s="232"/>
      <c r="F210" s="593">
        <f t="shared" si="23"/>
        <v>0</v>
      </c>
      <c r="G210" s="593"/>
    </row>
    <row r="211" s="579" customFormat="1" ht="20.1" customHeight="1" spans="1:7">
      <c r="A211" s="539" t="s">
        <v>464</v>
      </c>
      <c r="B211" s="232">
        <v>1211</v>
      </c>
      <c r="C211" s="540">
        <v>1317</v>
      </c>
      <c r="D211" s="584">
        <v>1302</v>
      </c>
      <c r="E211" s="232">
        <v>256</v>
      </c>
      <c r="F211" s="593">
        <f t="shared" si="23"/>
        <v>-78.86</v>
      </c>
      <c r="G211" s="593">
        <f t="shared" ref="G211:G213" si="27">E211/D211*100</f>
        <v>19.66</v>
      </c>
    </row>
    <row r="212" s="579" customFormat="1" ht="20.1" customHeight="1" spans="1:7">
      <c r="A212" s="539" t="s">
        <v>465</v>
      </c>
      <c r="B212" s="232">
        <v>17</v>
      </c>
      <c r="C212" s="540">
        <v>84</v>
      </c>
      <c r="D212" s="584">
        <v>184</v>
      </c>
      <c r="E212" s="232">
        <v>160</v>
      </c>
      <c r="F212" s="593">
        <f t="shared" si="23"/>
        <v>841.18</v>
      </c>
      <c r="G212" s="593">
        <f t="shared" si="27"/>
        <v>86.96</v>
      </c>
    </row>
    <row r="213" s="579" customFormat="1" ht="20.1" customHeight="1" spans="1:7">
      <c r="A213" s="539" t="s">
        <v>466</v>
      </c>
      <c r="B213" s="232">
        <v>144</v>
      </c>
      <c r="C213" s="540">
        <v>509</v>
      </c>
      <c r="D213" s="584">
        <v>629</v>
      </c>
      <c r="E213" s="232">
        <v>629</v>
      </c>
      <c r="F213" s="593">
        <f t="shared" si="23"/>
        <v>336.81</v>
      </c>
      <c r="G213" s="593">
        <f t="shared" si="27"/>
        <v>100</v>
      </c>
    </row>
    <row r="214" s="580" customFormat="1" ht="21" customHeight="1" spans="1:7">
      <c r="A214" s="658" t="s">
        <v>467</v>
      </c>
      <c r="B214" s="583"/>
      <c r="C214" s="583">
        <v>4623</v>
      </c>
      <c r="D214" s="597">
        <v>0</v>
      </c>
      <c r="E214" s="232"/>
      <c r="F214" s="592">
        <f t="shared" si="23"/>
        <v>0</v>
      </c>
      <c r="G214" s="592"/>
    </row>
    <row r="215" s="436" customFormat="1" ht="22" customHeight="1" spans="1:12">
      <c r="A215" s="658" t="s">
        <v>468</v>
      </c>
      <c r="B215" s="583">
        <f>SUM(B216:B217)</f>
        <v>6</v>
      </c>
      <c r="C215" s="583">
        <f>SUM(C216:C217)</f>
        <v>686</v>
      </c>
      <c r="D215" s="583">
        <f>SUM(D216:D217)</f>
        <v>0</v>
      </c>
      <c r="E215" s="583">
        <f>SUM(E216:E217)</f>
        <v>30</v>
      </c>
      <c r="F215" s="592">
        <f t="shared" si="23"/>
        <v>400</v>
      </c>
      <c r="G215" s="592"/>
      <c r="L215" s="659" t="s">
        <v>469</v>
      </c>
    </row>
    <row r="216" s="269" customFormat="1" ht="22" customHeight="1" spans="1:7">
      <c r="A216" s="540" t="s">
        <v>470</v>
      </c>
      <c r="B216" s="540"/>
      <c r="C216" s="540">
        <v>686</v>
      </c>
      <c r="D216" s="584">
        <v>0</v>
      </c>
      <c r="E216" s="232"/>
      <c r="F216" s="593">
        <f t="shared" si="23"/>
        <v>0</v>
      </c>
      <c r="G216" s="593"/>
    </row>
    <row r="217" s="269" customFormat="1" ht="22" customHeight="1" spans="1:7">
      <c r="A217" s="540" t="s">
        <v>471</v>
      </c>
      <c r="B217" s="232">
        <v>6</v>
      </c>
      <c r="C217" s="540"/>
      <c r="D217" s="584"/>
      <c r="E217" s="232">
        <v>30</v>
      </c>
      <c r="F217" s="593">
        <f t="shared" si="23"/>
        <v>400</v>
      </c>
      <c r="G217" s="593"/>
    </row>
    <row r="218" s="582" customFormat="1" ht="22" customHeight="1" spans="1:7">
      <c r="A218" s="583" t="s">
        <v>472</v>
      </c>
      <c r="B218" s="583">
        <f>SUM(B219:B221)</f>
        <v>0</v>
      </c>
      <c r="C218" s="583">
        <f>SUM(C219:C221)</f>
        <v>0</v>
      </c>
      <c r="D218" s="583">
        <f>SUM(D219:D221)</f>
        <v>0</v>
      </c>
      <c r="E218" s="583">
        <f>SUM(E219:E221)</f>
        <v>0</v>
      </c>
      <c r="F218" s="593">
        <f t="shared" si="23"/>
        <v>0</v>
      </c>
      <c r="G218" s="593"/>
    </row>
    <row r="219" s="406" customFormat="1" ht="22" customHeight="1" spans="1:7">
      <c r="A219" s="540" t="s">
        <v>473</v>
      </c>
      <c r="B219" s="540"/>
      <c r="C219" s="540"/>
      <c r="D219" s="584"/>
      <c r="E219" s="232"/>
      <c r="F219" s="593">
        <f t="shared" si="23"/>
        <v>0</v>
      </c>
      <c r="G219" s="593"/>
    </row>
    <row r="220" s="406" customFormat="1" ht="22" customHeight="1" spans="1:7">
      <c r="A220" s="540" t="s">
        <v>474</v>
      </c>
      <c r="B220" s="540"/>
      <c r="C220" s="540"/>
      <c r="D220" s="584"/>
      <c r="E220" s="232"/>
      <c r="F220" s="593">
        <f t="shared" si="23"/>
        <v>0</v>
      </c>
      <c r="G220" s="593"/>
    </row>
    <row r="221" s="406" customFormat="1" ht="22" customHeight="1" spans="1:7">
      <c r="A221" s="540" t="s">
        <v>475</v>
      </c>
      <c r="B221" s="540"/>
      <c r="C221" s="540"/>
      <c r="D221" s="584"/>
      <c r="E221" s="232"/>
      <c r="F221" s="593">
        <f t="shared" si="23"/>
        <v>0</v>
      </c>
      <c r="G221" s="593"/>
    </row>
    <row r="222" s="582" customFormat="1" ht="22" customHeight="1" spans="1:7">
      <c r="A222" s="583" t="s">
        <v>476</v>
      </c>
      <c r="B222" s="583"/>
      <c r="C222" s="583"/>
      <c r="D222" s="597"/>
      <c r="E222" s="534"/>
      <c r="F222" s="592">
        <f t="shared" si="23"/>
        <v>0</v>
      </c>
      <c r="G222" s="592"/>
    </row>
    <row r="223" s="580" customFormat="1" ht="20.1" customHeight="1" spans="1:7">
      <c r="A223" s="658" t="s">
        <v>477</v>
      </c>
      <c r="B223" s="583">
        <f>SUM(B224)</f>
        <v>6554</v>
      </c>
      <c r="C223" s="583">
        <f>SUM(C224)</f>
        <v>5977</v>
      </c>
      <c r="D223" s="583">
        <f>SUM(D224)</f>
        <v>5862</v>
      </c>
      <c r="E223" s="583">
        <f>SUM(E224)</f>
        <v>6181</v>
      </c>
      <c r="F223" s="592">
        <f t="shared" si="23"/>
        <v>-5.69</v>
      </c>
      <c r="G223" s="592">
        <f t="shared" ref="G223:G226" si="28">E223/D223*100</f>
        <v>105.44</v>
      </c>
    </row>
    <row r="224" s="579" customFormat="1" ht="20.1" customHeight="1" spans="1:7">
      <c r="A224" s="540" t="s">
        <v>478</v>
      </c>
      <c r="B224" s="232">
        <v>6554</v>
      </c>
      <c r="C224" s="540">
        <v>5977</v>
      </c>
      <c r="D224" s="584">
        <v>5862</v>
      </c>
      <c r="E224" s="232">
        <v>6181</v>
      </c>
      <c r="F224" s="593">
        <f t="shared" si="23"/>
        <v>-5.69</v>
      </c>
      <c r="G224" s="593">
        <f t="shared" si="28"/>
        <v>105.44</v>
      </c>
    </row>
    <row r="225" s="580" customFormat="1" ht="20.1" customHeight="1" spans="1:7">
      <c r="A225" s="658" t="s">
        <v>479</v>
      </c>
      <c r="B225" s="583">
        <f>SUM(B226)</f>
        <v>17</v>
      </c>
      <c r="C225" s="583">
        <f>SUM(C226)</f>
        <v>0</v>
      </c>
      <c r="D225" s="583">
        <f>SUM(D226)</f>
        <v>4</v>
      </c>
      <c r="E225" s="583">
        <f>SUM(E226)</f>
        <v>4</v>
      </c>
      <c r="F225" s="592">
        <f t="shared" si="23"/>
        <v>-76.47</v>
      </c>
      <c r="G225" s="592">
        <f t="shared" si="28"/>
        <v>100</v>
      </c>
    </row>
    <row r="226" s="269" customFormat="1" ht="17" customHeight="1" spans="1:7">
      <c r="A226" s="657" t="s">
        <v>480</v>
      </c>
      <c r="B226" s="232">
        <v>17</v>
      </c>
      <c r="C226" s="540"/>
      <c r="D226" s="584">
        <v>4</v>
      </c>
      <c r="E226" s="232">
        <v>4</v>
      </c>
      <c r="F226" s="593"/>
      <c r="G226" s="593">
        <f t="shared" si="28"/>
        <v>100</v>
      </c>
    </row>
    <row r="227" s="406" customFormat="1" ht="20.1" customHeight="1" spans="1:7">
      <c r="A227" s="540"/>
      <c r="B227" s="540"/>
      <c r="C227" s="540"/>
      <c r="D227" s="584"/>
      <c r="E227" s="232"/>
      <c r="F227" s="593"/>
      <c r="G227" s="593"/>
    </row>
    <row r="228" s="406" customFormat="1" ht="20.1" customHeight="1" spans="1:7">
      <c r="A228" s="540"/>
      <c r="B228" s="540"/>
      <c r="C228" s="540"/>
      <c r="D228" s="584"/>
      <c r="E228" s="232"/>
      <c r="F228" s="593"/>
      <c r="G228" s="593"/>
    </row>
    <row r="229" s="436" customFormat="1" ht="20.1" customHeight="1" spans="1:7">
      <c r="A229" s="417" t="s">
        <v>481</v>
      </c>
      <c r="B229" s="597">
        <f>B4+B34+B44+B50+B62+B73+B84+B91+B113+B128+B143+B150+B159+B165+B173+B177+B183+B193+B197+B201+B206+B214+B223+B225+B215+B218+B222</f>
        <v>327347</v>
      </c>
      <c r="C229" s="597">
        <f>C4+C34+C44+C50+C62+C73+C84+C91+C113+C128+C143+C150+C159+C165+C173+C177+C183+C193+C197+C201+C206+C214+C223+C225+C215+C218+C222</f>
        <v>365680</v>
      </c>
      <c r="D229" s="597">
        <f>D4+D34+D44+D50+D62+D73+D84+D91+D113+D128+D143+D150+D159+D165+D173+D177+D183+D193+D197+D201+D206+D214+D223+D225+D215+D218+D222</f>
        <v>398251</v>
      </c>
      <c r="E229" s="597">
        <f>E4+E34+E44+E50+E62+E73+E84+E91+E113+E128+E143+E150+E159+E165+E173+E177+E183+E193+E197+E201+E206+E214+E223+E225+E215+E218+E222</f>
        <v>337353</v>
      </c>
      <c r="F229" s="592">
        <f>IF(B229=0,,SUM(E229-B229)/B229*100)</f>
        <v>3.06</v>
      </c>
      <c r="G229" s="592">
        <f>E229/D229*100</f>
        <v>84.71</v>
      </c>
    </row>
    <row r="231" s="269" customFormat="1" spans="5:5">
      <c r="E231" s="598"/>
    </row>
  </sheetData>
  <mergeCells count="1">
    <mergeCell ref="A1:G1"/>
  </mergeCells>
  <pageMargins left="0.708661417322835" right="0.708661417322835" top="0.748031496062992" bottom="0.748031496062992" header="0.31496062992126" footer="0.31496062992126"/>
  <pageSetup paperSize="9" scale="77" fitToHeight="100" orientation="portrait"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3"/>
  <sheetViews>
    <sheetView showZeros="0" zoomScaleSheetLayoutView="60" workbookViewId="0">
      <pane xSplit="4" ySplit="6" topLeftCell="E7" activePane="bottomRight" state="frozen"/>
      <selection/>
      <selection pane="topRight"/>
      <selection pane="bottomLeft"/>
      <selection pane="bottomRight" activeCell="L25" sqref="L25"/>
    </sheetView>
  </sheetViews>
  <sheetFormatPr defaultColWidth="9.125" defaultRowHeight="12.75"/>
  <cols>
    <col min="1" max="1" width="9" style="519" customWidth="1"/>
    <col min="2" max="2" width="31.125" style="214" customWidth="1"/>
    <col min="3" max="3" width="11.125" style="214" customWidth="1"/>
    <col min="4" max="19" width="9" style="214" customWidth="1"/>
    <col min="20" max="20" width="8.175" style="214" customWidth="1"/>
    <col min="21" max="21" width="13.625" style="520" customWidth="1"/>
    <col min="22" max="22" width="9.125" style="520" customWidth="1"/>
    <col min="23" max="212" width="9.125" style="214" customWidth="1"/>
    <col min="213" max="16384" width="9.125" style="214"/>
  </cols>
  <sheetData>
    <row r="1" s="214" customFormat="1" ht="30" customHeight="1" spans="1:22">
      <c r="A1" s="660" t="s">
        <v>482</v>
      </c>
      <c r="B1" s="521"/>
      <c r="C1" s="522"/>
      <c r="D1" s="521"/>
      <c r="E1" s="521"/>
      <c r="F1" s="521"/>
      <c r="G1" s="521"/>
      <c r="H1" s="521"/>
      <c r="I1" s="521"/>
      <c r="J1" s="521"/>
      <c r="K1" s="521"/>
      <c r="L1" s="521"/>
      <c r="M1" s="521"/>
      <c r="N1" s="521"/>
      <c r="O1" s="521"/>
      <c r="P1" s="521"/>
      <c r="Q1" s="521"/>
      <c r="R1" s="521"/>
      <c r="S1" s="521"/>
      <c r="T1" s="521"/>
      <c r="U1" s="520"/>
      <c r="V1" s="520"/>
    </row>
    <row r="2" s="214" customFormat="1" ht="30" customHeight="1" spans="1:22">
      <c r="A2" s="523"/>
      <c r="B2" s="522"/>
      <c r="C2" s="522"/>
      <c r="D2" s="522"/>
      <c r="E2" s="522"/>
      <c r="F2" s="522"/>
      <c r="G2" s="522"/>
      <c r="H2" s="522"/>
      <c r="I2" s="522"/>
      <c r="J2" s="522"/>
      <c r="K2" s="522"/>
      <c r="L2" s="522"/>
      <c r="M2" s="522"/>
      <c r="N2" s="522"/>
      <c r="O2" s="522"/>
      <c r="P2" s="522"/>
      <c r="Q2" s="522"/>
      <c r="R2" s="522"/>
      <c r="S2" s="522"/>
      <c r="T2" s="522"/>
      <c r="U2" s="520"/>
      <c r="V2" s="520"/>
    </row>
    <row r="3" s="214" customFormat="1" ht="17.1" customHeight="1" spans="1:22">
      <c r="A3" s="524"/>
      <c r="B3" s="525"/>
      <c r="C3" s="525"/>
      <c r="D3" s="525"/>
      <c r="E3" s="525"/>
      <c r="F3" s="525"/>
      <c r="G3" s="525"/>
      <c r="H3" s="525"/>
      <c r="I3" s="525"/>
      <c r="J3" s="525"/>
      <c r="K3" s="525">
        <f>974+K7</f>
        <v>0</v>
      </c>
      <c r="L3" s="525"/>
      <c r="M3" s="525"/>
      <c r="N3" s="525"/>
      <c r="O3" s="525">
        <f>45393+O7</f>
        <v>0</v>
      </c>
      <c r="P3" s="525"/>
      <c r="Q3" s="525"/>
      <c r="R3" s="525"/>
      <c r="S3" s="525"/>
      <c r="T3" s="525" t="s">
        <v>85</v>
      </c>
      <c r="U3" s="520"/>
      <c r="V3" s="520"/>
    </row>
    <row r="4" s="214" customFormat="1" ht="20" customHeight="1" spans="1:22">
      <c r="A4" s="526" t="s">
        <v>483</v>
      </c>
      <c r="B4" s="526" t="s">
        <v>484</v>
      </c>
      <c r="C4" s="527" t="s">
        <v>485</v>
      </c>
      <c r="D4" s="528" t="s">
        <v>486</v>
      </c>
      <c r="E4" s="528"/>
      <c r="F4" s="528"/>
      <c r="G4" s="528"/>
      <c r="H4" s="528"/>
      <c r="I4" s="528"/>
      <c r="J4" s="528"/>
      <c r="K4" s="528"/>
      <c r="L4" s="528"/>
      <c r="M4" s="528"/>
      <c r="N4" s="528"/>
      <c r="O4" s="528"/>
      <c r="P4" s="528"/>
      <c r="Q4" s="661" t="s">
        <v>487</v>
      </c>
      <c r="R4" s="662" t="s">
        <v>488</v>
      </c>
      <c r="S4" s="542" t="s">
        <v>489</v>
      </c>
      <c r="T4" s="542" t="s">
        <v>490</v>
      </c>
      <c r="U4" s="520"/>
      <c r="V4" s="520"/>
    </row>
    <row r="5" s="214" customFormat="1" ht="20" customHeight="1" spans="1:22">
      <c r="A5" s="528"/>
      <c r="B5" s="528"/>
      <c r="C5" s="529"/>
      <c r="D5" s="527" t="s">
        <v>491</v>
      </c>
      <c r="E5" s="542" t="s">
        <v>492</v>
      </c>
      <c r="F5" s="663" t="s">
        <v>493</v>
      </c>
      <c r="G5" s="664" t="s">
        <v>494</v>
      </c>
      <c r="H5" s="664" t="s">
        <v>495</v>
      </c>
      <c r="I5" s="542" t="s">
        <v>496</v>
      </c>
      <c r="J5" s="542" t="s">
        <v>497</v>
      </c>
      <c r="K5" s="664" t="s">
        <v>498</v>
      </c>
      <c r="L5" s="542" t="s">
        <v>499</v>
      </c>
      <c r="M5" s="542" t="s">
        <v>500</v>
      </c>
      <c r="N5" s="664" t="s">
        <v>501</v>
      </c>
      <c r="O5" s="542" t="s">
        <v>502</v>
      </c>
      <c r="P5" s="542" t="s">
        <v>503</v>
      </c>
      <c r="Q5" s="529"/>
      <c r="R5" s="555"/>
      <c r="S5" s="529"/>
      <c r="T5" s="529"/>
      <c r="U5" s="556"/>
      <c r="V5" s="557"/>
    </row>
    <row r="6" s="214" customFormat="1" ht="20" customHeight="1" spans="1:22">
      <c r="A6" s="528"/>
      <c r="B6" s="528"/>
      <c r="C6" s="530"/>
      <c r="D6" s="531"/>
      <c r="E6" s="530"/>
      <c r="F6" s="544"/>
      <c r="G6" s="530"/>
      <c r="H6" s="530"/>
      <c r="I6" s="530"/>
      <c r="J6" s="530"/>
      <c r="K6" s="530"/>
      <c r="L6" s="530"/>
      <c r="M6" s="530"/>
      <c r="N6" s="530"/>
      <c r="O6" s="530"/>
      <c r="P6" s="530"/>
      <c r="Q6" s="530"/>
      <c r="R6" s="542"/>
      <c r="S6" s="530"/>
      <c r="T6" s="530"/>
      <c r="U6" s="558"/>
      <c r="V6" s="559"/>
    </row>
    <row r="7" s="518" customFormat="1" ht="16.9" customHeight="1" spans="1:22">
      <c r="A7" s="532"/>
      <c r="B7" s="533" t="s">
        <v>504</v>
      </c>
      <c r="C7" s="534">
        <f t="shared" ref="C7:T7" si="0">SUM(C8,C38,C48,C54,C66,C77,C88,C95,C117,C132,C147,C154,C163,C169,C177,C181,C187,C197,C201,C205,C218,C230,C232,C219,C210,C222,C226)</f>
        <v>365680</v>
      </c>
      <c r="D7" s="534">
        <f t="shared" si="0"/>
        <v>614</v>
      </c>
      <c r="E7" s="534">
        <f t="shared" si="0"/>
        <v>10476</v>
      </c>
      <c r="F7" s="534">
        <f t="shared" si="0"/>
        <v>46447</v>
      </c>
      <c r="G7" s="534">
        <f t="shared" si="0"/>
        <v>392</v>
      </c>
      <c r="H7" s="534">
        <f t="shared" si="0"/>
        <v>0</v>
      </c>
      <c r="I7" s="534">
        <f t="shared" si="0"/>
        <v>0</v>
      </c>
      <c r="J7" s="550">
        <f t="shared" si="0"/>
        <v>0</v>
      </c>
      <c r="K7" s="534">
        <f t="shared" si="0"/>
        <v>-974</v>
      </c>
      <c r="L7" s="534">
        <f t="shared" si="0"/>
        <v>1693</v>
      </c>
      <c r="M7" s="534">
        <f t="shared" si="0"/>
        <v>34250</v>
      </c>
      <c r="N7" s="534">
        <f t="shared" si="0"/>
        <v>-11263</v>
      </c>
      <c r="O7" s="534">
        <f t="shared" si="0"/>
        <v>-45393</v>
      </c>
      <c r="P7" s="534">
        <f t="shared" si="0"/>
        <v>-35014</v>
      </c>
      <c r="Q7" s="534">
        <f t="shared" si="0"/>
        <v>366294</v>
      </c>
      <c r="R7" s="534">
        <f t="shared" si="0"/>
        <v>337353</v>
      </c>
      <c r="S7" s="534">
        <f t="shared" si="0"/>
        <v>28941</v>
      </c>
      <c r="T7" s="534">
        <f t="shared" si="0"/>
        <v>28941</v>
      </c>
      <c r="U7" s="560"/>
      <c r="V7" s="561"/>
    </row>
    <row r="8" s="518" customFormat="1" ht="16.9" customHeight="1" spans="1:22">
      <c r="A8" s="535" t="s">
        <v>505</v>
      </c>
      <c r="B8" s="535" t="s">
        <v>506</v>
      </c>
      <c r="C8" s="536">
        <f t="shared" ref="C8:S8" si="1">SUM(C9:C37)</f>
        <v>23179</v>
      </c>
      <c r="D8" s="536">
        <f t="shared" si="1"/>
        <v>11</v>
      </c>
      <c r="E8" s="536">
        <f t="shared" si="1"/>
        <v>349</v>
      </c>
      <c r="F8" s="536">
        <f t="shared" si="1"/>
        <v>0</v>
      </c>
      <c r="G8" s="536">
        <f t="shared" si="1"/>
        <v>0</v>
      </c>
      <c r="H8" s="536">
        <f t="shared" si="1"/>
        <v>0</v>
      </c>
      <c r="I8" s="536">
        <f t="shared" si="1"/>
        <v>1021</v>
      </c>
      <c r="J8" s="536">
        <f t="shared" si="1"/>
        <v>7915</v>
      </c>
      <c r="K8" s="536">
        <f t="shared" si="1"/>
        <v>0</v>
      </c>
      <c r="L8" s="536">
        <f t="shared" si="1"/>
        <v>0</v>
      </c>
      <c r="M8" s="536">
        <f t="shared" si="1"/>
        <v>0</v>
      </c>
      <c r="N8" s="536">
        <f t="shared" si="1"/>
        <v>-2252</v>
      </c>
      <c r="O8" s="536">
        <f t="shared" si="1"/>
        <v>-7115</v>
      </c>
      <c r="P8" s="536">
        <f t="shared" si="1"/>
        <v>93</v>
      </c>
      <c r="Q8" s="536">
        <f t="shared" si="1"/>
        <v>23190</v>
      </c>
      <c r="R8" s="536">
        <f t="shared" si="1"/>
        <v>22455</v>
      </c>
      <c r="S8" s="536">
        <f t="shared" si="1"/>
        <v>735</v>
      </c>
      <c r="T8" s="536">
        <f t="shared" ref="T8:T71" si="2">S8</f>
        <v>735</v>
      </c>
      <c r="U8" s="562"/>
      <c r="V8" s="563"/>
    </row>
    <row r="9" s="214" customFormat="1" ht="16.9" customHeight="1" spans="1:22">
      <c r="A9" s="337" t="s">
        <v>507</v>
      </c>
      <c r="B9" s="537" t="s">
        <v>258</v>
      </c>
      <c r="C9" s="232">
        <v>891</v>
      </c>
      <c r="D9" s="232">
        <f t="shared" ref="D9:D37" si="3">SUM(E9:P9)</f>
        <v>-201</v>
      </c>
      <c r="E9" s="545"/>
      <c r="F9" s="232"/>
      <c r="G9" s="545"/>
      <c r="H9" s="545"/>
      <c r="I9" s="236">
        <v>32</v>
      </c>
      <c r="J9" s="232">
        <v>-158</v>
      </c>
      <c r="K9" s="551"/>
      <c r="L9" s="232"/>
      <c r="M9" s="236"/>
      <c r="N9" s="232"/>
      <c r="O9" s="551">
        <v>-6</v>
      </c>
      <c r="P9" s="232">
        <v>-69</v>
      </c>
      <c r="Q9" s="232">
        <f t="shared" ref="Q9:Q37" si="4">C9+D9</f>
        <v>690</v>
      </c>
      <c r="R9" s="232">
        <v>670</v>
      </c>
      <c r="S9" s="232">
        <f t="shared" ref="S9:S72" si="5">Q9-R9</f>
        <v>20</v>
      </c>
      <c r="T9" s="534">
        <f t="shared" si="2"/>
        <v>20</v>
      </c>
      <c r="U9" s="564"/>
      <c r="V9" s="565"/>
    </row>
    <row r="10" s="214" customFormat="1" ht="16.9" customHeight="1" spans="1:22">
      <c r="A10" s="337" t="s">
        <v>508</v>
      </c>
      <c r="B10" s="537" t="s">
        <v>259</v>
      </c>
      <c r="C10" s="232">
        <v>303</v>
      </c>
      <c r="D10" s="232">
        <f t="shared" si="3"/>
        <v>27</v>
      </c>
      <c r="E10" s="545"/>
      <c r="F10" s="232"/>
      <c r="G10" s="545"/>
      <c r="H10" s="545"/>
      <c r="I10" s="236">
        <v>44</v>
      </c>
      <c r="J10" s="232">
        <v>-5</v>
      </c>
      <c r="K10" s="551"/>
      <c r="L10" s="232"/>
      <c r="M10" s="236"/>
      <c r="N10" s="232"/>
      <c r="O10" s="551"/>
      <c r="P10" s="232">
        <v>-12</v>
      </c>
      <c r="Q10" s="232">
        <f t="shared" si="4"/>
        <v>330</v>
      </c>
      <c r="R10" s="232">
        <v>330</v>
      </c>
      <c r="S10" s="232">
        <f t="shared" si="5"/>
        <v>0</v>
      </c>
      <c r="T10" s="534">
        <f t="shared" si="2"/>
        <v>0</v>
      </c>
      <c r="U10" s="564"/>
      <c r="V10" s="565"/>
    </row>
    <row r="11" s="214" customFormat="1" ht="16.9" customHeight="1" spans="1:22">
      <c r="A11" s="337" t="s">
        <v>509</v>
      </c>
      <c r="B11" s="537" t="s">
        <v>260</v>
      </c>
      <c r="C11" s="232">
        <v>10041</v>
      </c>
      <c r="D11" s="232">
        <f t="shared" si="3"/>
        <v>462</v>
      </c>
      <c r="E11" s="545"/>
      <c r="F11" s="546"/>
      <c r="G11" s="545"/>
      <c r="H11" s="545"/>
      <c r="I11" s="236">
        <v>298</v>
      </c>
      <c r="J11" s="232">
        <f>154+3200</f>
        <v>3354</v>
      </c>
      <c r="K11" s="551"/>
      <c r="L11" s="232"/>
      <c r="M11" s="236"/>
      <c r="N11" s="232"/>
      <c r="O11" s="551">
        <v>-3200</v>
      </c>
      <c r="P11" s="232">
        <v>10</v>
      </c>
      <c r="Q11" s="232">
        <f t="shared" si="4"/>
        <v>10503</v>
      </c>
      <c r="R11" s="232">
        <v>10503</v>
      </c>
      <c r="S11" s="232">
        <f t="shared" si="5"/>
        <v>0</v>
      </c>
      <c r="T11" s="534">
        <f t="shared" si="2"/>
        <v>0</v>
      </c>
      <c r="U11" s="564"/>
      <c r="V11" s="565"/>
    </row>
    <row r="12" s="214" customFormat="1" ht="16.9" customHeight="1" spans="1:22">
      <c r="A12" s="337" t="s">
        <v>510</v>
      </c>
      <c r="B12" s="537" t="s">
        <v>261</v>
      </c>
      <c r="C12" s="232">
        <v>400</v>
      </c>
      <c r="D12" s="232">
        <f t="shared" si="3"/>
        <v>349</v>
      </c>
      <c r="E12" s="545">
        <v>316</v>
      </c>
      <c r="F12" s="232"/>
      <c r="G12" s="545"/>
      <c r="H12" s="545"/>
      <c r="I12" s="236">
        <v>16</v>
      </c>
      <c r="J12" s="232">
        <v>17</v>
      </c>
      <c r="K12" s="552"/>
      <c r="L12" s="232"/>
      <c r="M12" s="236"/>
      <c r="N12" s="232"/>
      <c r="O12" s="552"/>
      <c r="P12" s="232">
        <v>0</v>
      </c>
      <c r="Q12" s="232">
        <f t="shared" si="4"/>
        <v>749</v>
      </c>
      <c r="R12" s="232">
        <v>697</v>
      </c>
      <c r="S12" s="232">
        <f t="shared" si="5"/>
        <v>52</v>
      </c>
      <c r="T12" s="534">
        <f t="shared" si="2"/>
        <v>52</v>
      </c>
      <c r="U12" s="564"/>
      <c r="V12" s="565"/>
    </row>
    <row r="13" s="214" customFormat="1" ht="16.9" customHeight="1" spans="1:22">
      <c r="A13" s="337" t="s">
        <v>511</v>
      </c>
      <c r="B13" s="538" t="s">
        <v>262</v>
      </c>
      <c r="C13" s="232">
        <v>344</v>
      </c>
      <c r="D13" s="232">
        <f t="shared" si="3"/>
        <v>94</v>
      </c>
      <c r="E13" s="545"/>
      <c r="F13" s="547"/>
      <c r="G13" s="545"/>
      <c r="H13" s="545"/>
      <c r="I13" s="236">
        <v>32</v>
      </c>
      <c r="J13" s="547">
        <v>62</v>
      </c>
      <c r="K13" s="551"/>
      <c r="L13" s="232"/>
      <c r="M13" s="236"/>
      <c r="N13" s="232"/>
      <c r="O13" s="551"/>
      <c r="P13" s="232">
        <v>0</v>
      </c>
      <c r="Q13" s="232">
        <f t="shared" si="4"/>
        <v>438</v>
      </c>
      <c r="R13" s="232">
        <v>409</v>
      </c>
      <c r="S13" s="232">
        <f t="shared" si="5"/>
        <v>29</v>
      </c>
      <c r="T13" s="534">
        <f t="shared" si="2"/>
        <v>29</v>
      </c>
      <c r="U13" s="564"/>
      <c r="V13" s="565"/>
    </row>
    <row r="14" s="214" customFormat="1" ht="16.9" customHeight="1" spans="1:22">
      <c r="A14" s="337" t="s">
        <v>512</v>
      </c>
      <c r="B14" s="537" t="s">
        <v>263</v>
      </c>
      <c r="C14" s="232">
        <v>858</v>
      </c>
      <c r="D14" s="232">
        <f t="shared" si="3"/>
        <v>-134</v>
      </c>
      <c r="E14" s="545"/>
      <c r="F14" s="232"/>
      <c r="G14" s="545"/>
      <c r="H14" s="545"/>
      <c r="I14" s="236">
        <v>43</v>
      </c>
      <c r="J14" s="232">
        <v>-154</v>
      </c>
      <c r="K14" s="551"/>
      <c r="L14" s="232"/>
      <c r="M14" s="236"/>
      <c r="N14" s="232"/>
      <c r="O14" s="551"/>
      <c r="P14" s="232">
        <v>-23</v>
      </c>
      <c r="Q14" s="232">
        <f t="shared" si="4"/>
        <v>724</v>
      </c>
      <c r="R14" s="232">
        <v>724</v>
      </c>
      <c r="S14" s="232">
        <f t="shared" si="5"/>
        <v>0</v>
      </c>
      <c r="T14" s="534">
        <f t="shared" si="2"/>
        <v>0</v>
      </c>
      <c r="U14" s="564"/>
      <c r="V14" s="565"/>
    </row>
    <row r="15" s="214" customFormat="1" ht="16.9" customHeight="1" spans="1:22">
      <c r="A15" s="337" t="s">
        <v>513</v>
      </c>
      <c r="B15" s="537" t="s">
        <v>264</v>
      </c>
      <c r="C15" s="232">
        <v>417</v>
      </c>
      <c r="D15" s="232">
        <f t="shared" si="3"/>
        <v>-46</v>
      </c>
      <c r="E15" s="545"/>
      <c r="F15" s="548"/>
      <c r="G15" s="545"/>
      <c r="H15" s="545"/>
      <c r="I15" s="236">
        <v>104</v>
      </c>
      <c r="J15" s="548">
        <v>-150</v>
      </c>
      <c r="K15" s="232"/>
      <c r="L15" s="232"/>
      <c r="M15" s="236"/>
      <c r="N15" s="232"/>
      <c r="O15" s="232"/>
      <c r="P15" s="232">
        <v>0</v>
      </c>
      <c r="Q15" s="232">
        <f t="shared" si="4"/>
        <v>371</v>
      </c>
      <c r="R15" s="232">
        <v>371</v>
      </c>
      <c r="S15" s="232">
        <f t="shared" si="5"/>
        <v>0</v>
      </c>
      <c r="T15" s="534">
        <f t="shared" si="2"/>
        <v>0</v>
      </c>
      <c r="U15" s="564"/>
      <c r="V15" s="565"/>
    </row>
    <row r="16" s="214" customFormat="1" ht="16.9" customHeight="1" spans="1:22">
      <c r="A16" s="337" t="s">
        <v>514</v>
      </c>
      <c r="B16" s="538" t="s">
        <v>265</v>
      </c>
      <c r="C16" s="232">
        <v>215</v>
      </c>
      <c r="D16" s="232">
        <f t="shared" si="3"/>
        <v>10</v>
      </c>
      <c r="E16" s="545"/>
      <c r="F16" s="548"/>
      <c r="G16" s="545"/>
      <c r="H16" s="545"/>
      <c r="I16" s="236">
        <v>21</v>
      </c>
      <c r="J16" s="548">
        <v>-9</v>
      </c>
      <c r="K16" s="232"/>
      <c r="L16" s="232"/>
      <c r="M16" s="236"/>
      <c r="N16" s="232"/>
      <c r="O16" s="232">
        <v>-2</v>
      </c>
      <c r="P16" s="232">
        <v>0</v>
      </c>
      <c r="Q16" s="232">
        <f t="shared" si="4"/>
        <v>225</v>
      </c>
      <c r="R16" s="232">
        <v>225</v>
      </c>
      <c r="S16" s="232">
        <f t="shared" si="5"/>
        <v>0</v>
      </c>
      <c r="T16" s="534">
        <f t="shared" si="2"/>
        <v>0</v>
      </c>
      <c r="U16" s="564"/>
      <c r="V16" s="565"/>
    </row>
    <row r="17" s="214" customFormat="1" ht="16.9" customHeight="1" spans="1:22">
      <c r="A17" s="337" t="s">
        <v>515</v>
      </c>
      <c r="B17" s="537" t="s">
        <v>266</v>
      </c>
      <c r="C17" s="232">
        <v>0</v>
      </c>
      <c r="D17" s="232">
        <f t="shared" si="3"/>
        <v>0</v>
      </c>
      <c r="E17" s="545"/>
      <c r="F17" s="548">
        <v>0</v>
      </c>
      <c r="G17" s="545"/>
      <c r="H17" s="545"/>
      <c r="I17" s="236"/>
      <c r="J17" s="553"/>
      <c r="K17" s="232"/>
      <c r="L17" s="232"/>
      <c r="M17" s="236"/>
      <c r="N17" s="232"/>
      <c r="O17" s="232"/>
      <c r="P17" s="232">
        <v>0</v>
      </c>
      <c r="Q17" s="232">
        <f t="shared" si="4"/>
        <v>0</v>
      </c>
      <c r="R17" s="232"/>
      <c r="S17" s="232">
        <f t="shared" si="5"/>
        <v>0</v>
      </c>
      <c r="T17" s="534">
        <f t="shared" si="2"/>
        <v>0</v>
      </c>
      <c r="U17" s="564"/>
      <c r="V17" s="565"/>
    </row>
    <row r="18" s="214" customFormat="1" ht="16.9" customHeight="1" spans="1:22">
      <c r="A18" s="337" t="s">
        <v>516</v>
      </c>
      <c r="B18" s="539" t="s">
        <v>267</v>
      </c>
      <c r="C18" s="232">
        <v>1505</v>
      </c>
      <c r="D18" s="232">
        <f t="shared" si="3"/>
        <v>332</v>
      </c>
      <c r="E18" s="545"/>
      <c r="F18" s="548"/>
      <c r="G18" s="545"/>
      <c r="H18" s="545"/>
      <c r="I18" s="236">
        <v>148</v>
      </c>
      <c r="J18" s="232">
        <f>155+586</f>
        <v>741</v>
      </c>
      <c r="K18" s="232"/>
      <c r="L18" s="232"/>
      <c r="M18" s="236"/>
      <c r="N18" s="232"/>
      <c r="O18" s="232">
        <v>-586</v>
      </c>
      <c r="P18" s="232">
        <v>29</v>
      </c>
      <c r="Q18" s="232">
        <f t="shared" si="4"/>
        <v>1837</v>
      </c>
      <c r="R18" s="232">
        <v>1790</v>
      </c>
      <c r="S18" s="232">
        <f t="shared" si="5"/>
        <v>47</v>
      </c>
      <c r="T18" s="534">
        <f t="shared" si="2"/>
        <v>47</v>
      </c>
      <c r="U18" s="564"/>
      <c r="V18" s="565"/>
    </row>
    <row r="19" s="214" customFormat="1" ht="16.9" customHeight="1" spans="1:22">
      <c r="A19" s="337" t="s">
        <v>517</v>
      </c>
      <c r="B19" s="539" t="s">
        <v>268</v>
      </c>
      <c r="C19" s="232">
        <v>127</v>
      </c>
      <c r="D19" s="232">
        <f t="shared" si="3"/>
        <v>12</v>
      </c>
      <c r="E19" s="545"/>
      <c r="F19" s="548"/>
      <c r="G19" s="545"/>
      <c r="H19" s="545"/>
      <c r="I19" s="236">
        <v>9</v>
      </c>
      <c r="J19" s="553">
        <v>3</v>
      </c>
      <c r="K19" s="232"/>
      <c r="L19" s="232"/>
      <c r="M19" s="236"/>
      <c r="N19" s="232"/>
      <c r="O19" s="232"/>
      <c r="P19" s="232">
        <v>0</v>
      </c>
      <c r="Q19" s="232">
        <f t="shared" si="4"/>
        <v>139</v>
      </c>
      <c r="R19" s="232">
        <v>139</v>
      </c>
      <c r="S19" s="232">
        <f t="shared" si="5"/>
        <v>0</v>
      </c>
      <c r="T19" s="534">
        <f t="shared" si="2"/>
        <v>0</v>
      </c>
      <c r="U19" s="564"/>
      <c r="V19" s="565"/>
    </row>
    <row r="20" s="214" customFormat="1" ht="16.9" customHeight="1" spans="1:22">
      <c r="A20" s="337" t="s">
        <v>518</v>
      </c>
      <c r="B20" s="538" t="s">
        <v>269</v>
      </c>
      <c r="C20" s="232">
        <v>0</v>
      </c>
      <c r="D20" s="232">
        <f t="shared" si="3"/>
        <v>0</v>
      </c>
      <c r="E20" s="545"/>
      <c r="F20" s="548">
        <v>0</v>
      </c>
      <c r="G20" s="545"/>
      <c r="H20" s="545"/>
      <c r="I20" s="236"/>
      <c r="J20" s="553"/>
      <c r="K20" s="232"/>
      <c r="L20" s="232"/>
      <c r="M20" s="236"/>
      <c r="N20" s="232"/>
      <c r="O20" s="232"/>
      <c r="P20" s="232">
        <v>0</v>
      </c>
      <c r="Q20" s="232">
        <f t="shared" si="4"/>
        <v>0</v>
      </c>
      <c r="R20" s="232"/>
      <c r="S20" s="232">
        <f t="shared" si="5"/>
        <v>0</v>
      </c>
      <c r="T20" s="534">
        <f t="shared" si="2"/>
        <v>0</v>
      </c>
      <c r="U20" s="564"/>
      <c r="V20" s="565"/>
    </row>
    <row r="21" s="214" customFormat="1" ht="16.9" customHeight="1" spans="1:22">
      <c r="A21" s="337" t="s">
        <v>519</v>
      </c>
      <c r="B21" s="537" t="s">
        <v>270</v>
      </c>
      <c r="C21" s="232">
        <v>101</v>
      </c>
      <c r="D21" s="232">
        <f t="shared" si="3"/>
        <v>94</v>
      </c>
      <c r="E21" s="545"/>
      <c r="F21" s="548"/>
      <c r="G21" s="545"/>
      <c r="H21" s="545"/>
      <c r="I21" s="236"/>
      <c r="J21" s="548">
        <v>-100</v>
      </c>
      <c r="K21" s="232"/>
      <c r="L21" s="232"/>
      <c r="M21" s="236"/>
      <c r="N21" s="232"/>
      <c r="O21" s="232"/>
      <c r="P21" s="232">
        <v>194</v>
      </c>
      <c r="Q21" s="232">
        <f t="shared" si="4"/>
        <v>195</v>
      </c>
      <c r="R21" s="232">
        <v>165</v>
      </c>
      <c r="S21" s="232">
        <f t="shared" si="5"/>
        <v>30</v>
      </c>
      <c r="T21" s="534">
        <f t="shared" si="2"/>
        <v>30</v>
      </c>
      <c r="U21" s="564"/>
      <c r="V21" s="565"/>
    </row>
    <row r="22" s="214" customFormat="1" ht="16.9" customHeight="1" spans="1:22">
      <c r="A22" s="337" t="s">
        <v>520</v>
      </c>
      <c r="B22" s="537" t="s">
        <v>271</v>
      </c>
      <c r="C22" s="232">
        <v>0</v>
      </c>
      <c r="D22" s="232">
        <f t="shared" si="3"/>
        <v>0</v>
      </c>
      <c r="E22" s="545"/>
      <c r="F22" s="232">
        <v>0</v>
      </c>
      <c r="G22" s="545"/>
      <c r="H22" s="545"/>
      <c r="I22" s="236"/>
      <c r="J22" s="553"/>
      <c r="K22" s="232"/>
      <c r="L22" s="232"/>
      <c r="M22" s="236"/>
      <c r="N22" s="232"/>
      <c r="O22" s="232"/>
      <c r="P22" s="232">
        <v>0</v>
      </c>
      <c r="Q22" s="232">
        <f t="shared" si="4"/>
        <v>0</v>
      </c>
      <c r="R22" s="232"/>
      <c r="S22" s="232">
        <f t="shared" si="5"/>
        <v>0</v>
      </c>
      <c r="T22" s="534">
        <f t="shared" si="2"/>
        <v>0</v>
      </c>
      <c r="U22" s="564"/>
      <c r="V22" s="565"/>
    </row>
    <row r="23" s="214" customFormat="1" ht="16.9" customHeight="1" spans="1:22">
      <c r="A23" s="337" t="s">
        <v>521</v>
      </c>
      <c r="B23" s="538" t="s">
        <v>272</v>
      </c>
      <c r="C23" s="232">
        <v>93</v>
      </c>
      <c r="D23" s="232">
        <f t="shared" si="3"/>
        <v>12</v>
      </c>
      <c r="E23" s="545"/>
      <c r="F23" s="232"/>
      <c r="G23" s="545"/>
      <c r="H23" s="545"/>
      <c r="I23" s="236">
        <v>5</v>
      </c>
      <c r="J23" s="553">
        <v>7</v>
      </c>
      <c r="K23" s="232"/>
      <c r="L23" s="232"/>
      <c r="M23" s="236"/>
      <c r="N23" s="232"/>
      <c r="O23" s="232"/>
      <c r="P23" s="232">
        <v>0</v>
      </c>
      <c r="Q23" s="232">
        <f t="shared" si="4"/>
        <v>105</v>
      </c>
      <c r="R23" s="232">
        <v>105</v>
      </c>
      <c r="S23" s="232">
        <f t="shared" si="5"/>
        <v>0</v>
      </c>
      <c r="T23" s="534">
        <f t="shared" si="2"/>
        <v>0</v>
      </c>
      <c r="U23" s="564"/>
      <c r="V23" s="565"/>
    </row>
    <row r="24" s="214" customFormat="1" ht="16.9" customHeight="1" spans="1:22">
      <c r="A24" s="337" t="s">
        <v>522</v>
      </c>
      <c r="B24" s="538" t="s">
        <v>273</v>
      </c>
      <c r="C24" s="232">
        <v>42</v>
      </c>
      <c r="D24" s="232">
        <f t="shared" si="3"/>
        <v>2</v>
      </c>
      <c r="E24" s="545"/>
      <c r="F24" s="232">
        <v>0</v>
      </c>
      <c r="G24" s="545"/>
      <c r="H24" s="545"/>
      <c r="I24" s="236">
        <v>2</v>
      </c>
      <c r="J24" s="553"/>
      <c r="K24" s="232"/>
      <c r="L24" s="232"/>
      <c r="M24" s="236"/>
      <c r="N24" s="232"/>
      <c r="O24" s="232"/>
      <c r="P24" s="232">
        <v>0</v>
      </c>
      <c r="Q24" s="232">
        <f t="shared" si="4"/>
        <v>44</v>
      </c>
      <c r="R24" s="232">
        <v>44</v>
      </c>
      <c r="S24" s="232">
        <f t="shared" si="5"/>
        <v>0</v>
      </c>
      <c r="T24" s="534">
        <f t="shared" si="2"/>
        <v>0</v>
      </c>
      <c r="U24" s="564"/>
      <c r="V24" s="565"/>
    </row>
    <row r="25" s="214" customFormat="1" ht="16.9" customHeight="1" spans="1:22">
      <c r="A25" s="337" t="s">
        <v>523</v>
      </c>
      <c r="B25" s="538" t="s">
        <v>274</v>
      </c>
      <c r="C25" s="232">
        <v>653</v>
      </c>
      <c r="D25" s="232">
        <f t="shared" si="3"/>
        <v>-45</v>
      </c>
      <c r="E25" s="549">
        <v>27</v>
      </c>
      <c r="F25" s="548"/>
      <c r="G25" s="545"/>
      <c r="H25" s="545"/>
      <c r="I25" s="236">
        <v>8</v>
      </c>
      <c r="J25" s="553">
        <v>90</v>
      </c>
      <c r="K25" s="232"/>
      <c r="L25" s="232"/>
      <c r="M25" s="236"/>
      <c r="N25" s="232"/>
      <c r="O25" s="232">
        <v>-170</v>
      </c>
      <c r="P25" s="232">
        <v>0</v>
      </c>
      <c r="Q25" s="232">
        <f t="shared" si="4"/>
        <v>608</v>
      </c>
      <c r="R25" s="232">
        <v>600</v>
      </c>
      <c r="S25" s="232">
        <f t="shared" si="5"/>
        <v>8</v>
      </c>
      <c r="T25" s="534">
        <f t="shared" si="2"/>
        <v>8</v>
      </c>
      <c r="U25" s="564"/>
      <c r="V25" s="565"/>
    </row>
    <row r="26" s="214" customFormat="1" ht="16.9" customHeight="1" spans="1:22">
      <c r="A26" s="337" t="s">
        <v>524</v>
      </c>
      <c r="B26" s="538" t="s">
        <v>275</v>
      </c>
      <c r="C26" s="232">
        <v>419</v>
      </c>
      <c r="D26" s="232">
        <f t="shared" si="3"/>
        <v>216</v>
      </c>
      <c r="E26" s="545"/>
      <c r="F26" s="548"/>
      <c r="G26" s="545"/>
      <c r="H26" s="545"/>
      <c r="I26" s="236">
        <v>56</v>
      </c>
      <c r="J26" s="553">
        <v>217</v>
      </c>
      <c r="K26" s="232"/>
      <c r="L26" s="232"/>
      <c r="M26" s="236"/>
      <c r="N26" s="232"/>
      <c r="O26" s="232"/>
      <c r="P26" s="232">
        <v>-57</v>
      </c>
      <c r="Q26" s="232">
        <f t="shared" si="4"/>
        <v>635</v>
      </c>
      <c r="R26" s="232">
        <v>635</v>
      </c>
      <c r="S26" s="232">
        <f t="shared" si="5"/>
        <v>0</v>
      </c>
      <c r="T26" s="534">
        <f t="shared" si="2"/>
        <v>0</v>
      </c>
      <c r="U26" s="564"/>
      <c r="V26" s="565"/>
    </row>
    <row r="27" s="214" customFormat="1" ht="16.9" customHeight="1" spans="1:22">
      <c r="A27" s="337" t="s">
        <v>525</v>
      </c>
      <c r="B27" s="538" t="s">
        <v>276</v>
      </c>
      <c r="C27" s="232">
        <v>1955</v>
      </c>
      <c r="D27" s="232">
        <f t="shared" si="3"/>
        <v>-406</v>
      </c>
      <c r="E27" s="545"/>
      <c r="F27" s="548"/>
      <c r="G27" s="545"/>
      <c r="H27" s="545"/>
      <c r="I27" s="236">
        <v>40</v>
      </c>
      <c r="J27" s="548">
        <v>-36</v>
      </c>
      <c r="K27" s="232"/>
      <c r="L27" s="232"/>
      <c r="M27" s="236"/>
      <c r="N27" s="232"/>
      <c r="O27" s="232">
        <v>-419</v>
      </c>
      <c r="P27" s="232">
        <v>9</v>
      </c>
      <c r="Q27" s="232">
        <f t="shared" si="4"/>
        <v>1549</v>
      </c>
      <c r="R27" s="232">
        <v>1043</v>
      </c>
      <c r="S27" s="232">
        <f t="shared" si="5"/>
        <v>506</v>
      </c>
      <c r="T27" s="534">
        <f t="shared" si="2"/>
        <v>506</v>
      </c>
      <c r="U27" s="564"/>
      <c r="V27" s="565"/>
    </row>
    <row r="28" s="214" customFormat="1" ht="16.9" customHeight="1" spans="1:22">
      <c r="A28" s="337" t="s">
        <v>526</v>
      </c>
      <c r="B28" s="538" t="s">
        <v>277</v>
      </c>
      <c r="C28" s="232">
        <v>156</v>
      </c>
      <c r="D28" s="232">
        <f t="shared" si="3"/>
        <v>108</v>
      </c>
      <c r="E28" s="545"/>
      <c r="F28" s="232"/>
      <c r="G28" s="545"/>
      <c r="H28" s="545"/>
      <c r="I28" s="236">
        <v>14</v>
      </c>
      <c r="J28" s="553">
        <v>94</v>
      </c>
      <c r="K28" s="232"/>
      <c r="L28" s="232"/>
      <c r="M28" s="236"/>
      <c r="N28" s="232"/>
      <c r="O28" s="232"/>
      <c r="P28" s="232">
        <v>0</v>
      </c>
      <c r="Q28" s="232">
        <f t="shared" si="4"/>
        <v>264</v>
      </c>
      <c r="R28" s="232">
        <v>264</v>
      </c>
      <c r="S28" s="232">
        <f t="shared" si="5"/>
        <v>0</v>
      </c>
      <c r="T28" s="534">
        <f t="shared" si="2"/>
        <v>0</v>
      </c>
      <c r="U28" s="564"/>
      <c r="V28" s="565"/>
    </row>
    <row r="29" s="214" customFormat="1" ht="16.9" customHeight="1" spans="1:22">
      <c r="A29" s="337" t="s">
        <v>527</v>
      </c>
      <c r="B29" s="538" t="s">
        <v>278</v>
      </c>
      <c r="C29" s="232">
        <v>251</v>
      </c>
      <c r="D29" s="232">
        <f t="shared" si="3"/>
        <v>12</v>
      </c>
      <c r="E29" s="545"/>
      <c r="F29" s="548"/>
      <c r="G29" s="545"/>
      <c r="H29" s="545"/>
      <c r="I29" s="236">
        <v>16</v>
      </c>
      <c r="J29" s="548">
        <v>-3</v>
      </c>
      <c r="K29" s="232"/>
      <c r="L29" s="232"/>
      <c r="M29" s="236"/>
      <c r="N29" s="232"/>
      <c r="O29" s="232"/>
      <c r="P29" s="232">
        <v>-1</v>
      </c>
      <c r="Q29" s="232">
        <f t="shared" si="4"/>
        <v>263</v>
      </c>
      <c r="R29" s="232">
        <v>263</v>
      </c>
      <c r="S29" s="232">
        <f t="shared" si="5"/>
        <v>0</v>
      </c>
      <c r="T29" s="534">
        <f t="shared" si="2"/>
        <v>0</v>
      </c>
      <c r="U29" s="564"/>
      <c r="V29" s="565"/>
    </row>
    <row r="30" s="214" customFormat="1" ht="17.1" customHeight="1" spans="1:22">
      <c r="A30" s="337" t="s">
        <v>528</v>
      </c>
      <c r="B30" s="538" t="s">
        <v>279</v>
      </c>
      <c r="C30" s="232">
        <v>0</v>
      </c>
      <c r="D30" s="232">
        <f t="shared" si="3"/>
        <v>0</v>
      </c>
      <c r="E30" s="545"/>
      <c r="F30" s="232"/>
      <c r="G30" s="545"/>
      <c r="H30" s="545"/>
      <c r="I30" s="236"/>
      <c r="J30" s="553"/>
      <c r="K30" s="232"/>
      <c r="L30" s="232"/>
      <c r="M30" s="236"/>
      <c r="N30" s="232"/>
      <c r="O30" s="232"/>
      <c r="P30" s="232">
        <v>0</v>
      </c>
      <c r="Q30" s="232">
        <f t="shared" si="4"/>
        <v>0</v>
      </c>
      <c r="R30" s="232"/>
      <c r="S30" s="232">
        <f t="shared" si="5"/>
        <v>0</v>
      </c>
      <c r="T30" s="534">
        <f t="shared" si="2"/>
        <v>0</v>
      </c>
      <c r="U30" s="564"/>
      <c r="V30" s="565"/>
    </row>
    <row r="31" s="214" customFormat="1" ht="17.1" customHeight="1" spans="1:22">
      <c r="A31" s="337" t="s">
        <v>529</v>
      </c>
      <c r="B31" s="538" t="s">
        <v>280</v>
      </c>
      <c r="C31" s="232">
        <v>447</v>
      </c>
      <c r="D31" s="232">
        <f t="shared" si="3"/>
        <v>35</v>
      </c>
      <c r="E31" s="545"/>
      <c r="F31" s="232"/>
      <c r="G31" s="545"/>
      <c r="H31" s="545"/>
      <c r="I31" s="236">
        <v>30</v>
      </c>
      <c r="J31" s="553">
        <v>5</v>
      </c>
      <c r="K31" s="232"/>
      <c r="L31" s="232"/>
      <c r="M31" s="236"/>
      <c r="N31" s="232"/>
      <c r="O31" s="232"/>
      <c r="P31" s="232">
        <v>0</v>
      </c>
      <c r="Q31" s="232">
        <f t="shared" si="4"/>
        <v>482</v>
      </c>
      <c r="R31" s="232">
        <v>482</v>
      </c>
      <c r="S31" s="232">
        <f t="shared" si="5"/>
        <v>0</v>
      </c>
      <c r="T31" s="534">
        <f t="shared" si="2"/>
        <v>0</v>
      </c>
      <c r="U31" s="564"/>
      <c r="V31" s="565"/>
    </row>
    <row r="32" s="214" customFormat="1" ht="17.1" customHeight="1" spans="1:22">
      <c r="A32" s="337" t="s">
        <v>530</v>
      </c>
      <c r="B32" s="538" t="s">
        <v>281</v>
      </c>
      <c r="C32" s="232">
        <v>0</v>
      </c>
      <c r="D32" s="232">
        <f t="shared" si="3"/>
        <v>0</v>
      </c>
      <c r="E32" s="545"/>
      <c r="F32" s="232"/>
      <c r="G32" s="545"/>
      <c r="H32" s="545"/>
      <c r="I32" s="236"/>
      <c r="J32" s="553"/>
      <c r="K32" s="232"/>
      <c r="L32" s="232"/>
      <c r="M32" s="236"/>
      <c r="N32" s="232"/>
      <c r="O32" s="232"/>
      <c r="P32" s="232">
        <v>0</v>
      </c>
      <c r="Q32" s="232">
        <f t="shared" si="4"/>
        <v>0</v>
      </c>
      <c r="R32" s="232"/>
      <c r="S32" s="232">
        <f t="shared" si="5"/>
        <v>0</v>
      </c>
      <c r="T32" s="534">
        <f t="shared" si="2"/>
        <v>0</v>
      </c>
      <c r="U32" s="564"/>
      <c r="V32" s="565"/>
    </row>
    <row r="33" s="214" customFormat="1" ht="17.1" customHeight="1" spans="1:22">
      <c r="A33" s="337" t="s">
        <v>531</v>
      </c>
      <c r="B33" s="538" t="s">
        <v>282</v>
      </c>
      <c r="C33" s="232">
        <v>1414</v>
      </c>
      <c r="D33" s="232">
        <f t="shared" si="3"/>
        <v>278</v>
      </c>
      <c r="E33" s="545">
        <v>5</v>
      </c>
      <c r="F33" s="232"/>
      <c r="G33" s="545"/>
      <c r="H33" s="545"/>
      <c r="I33" s="236">
        <v>91</v>
      </c>
      <c r="J33" s="553">
        <v>187</v>
      </c>
      <c r="K33" s="232"/>
      <c r="L33" s="232"/>
      <c r="M33" s="236"/>
      <c r="N33" s="232"/>
      <c r="O33" s="232">
        <v>-18</v>
      </c>
      <c r="P33" s="232">
        <v>13</v>
      </c>
      <c r="Q33" s="232">
        <f t="shared" si="4"/>
        <v>1692</v>
      </c>
      <c r="R33" s="232">
        <v>1654</v>
      </c>
      <c r="S33" s="232">
        <f t="shared" si="5"/>
        <v>38</v>
      </c>
      <c r="T33" s="534">
        <f t="shared" si="2"/>
        <v>38</v>
      </c>
      <c r="U33" s="564"/>
      <c r="V33" s="565"/>
    </row>
    <row r="34" s="214" customFormat="1" ht="17.1" customHeight="1" spans="1:22">
      <c r="A34" s="337" t="s">
        <v>532</v>
      </c>
      <c r="B34" s="538" t="s">
        <v>283</v>
      </c>
      <c r="C34" s="232">
        <v>132</v>
      </c>
      <c r="D34" s="232">
        <f t="shared" si="3"/>
        <v>24</v>
      </c>
      <c r="E34" s="545">
        <v>1</v>
      </c>
      <c r="F34" s="232"/>
      <c r="G34" s="545"/>
      <c r="H34" s="545"/>
      <c r="I34" s="236">
        <v>5</v>
      </c>
      <c r="J34" s="553">
        <v>23</v>
      </c>
      <c r="K34" s="232"/>
      <c r="L34" s="232"/>
      <c r="M34" s="236"/>
      <c r="N34" s="232"/>
      <c r="O34" s="232">
        <v>-5</v>
      </c>
      <c r="P34" s="232">
        <v>0</v>
      </c>
      <c r="Q34" s="232">
        <f t="shared" si="4"/>
        <v>156</v>
      </c>
      <c r="R34" s="232">
        <v>151</v>
      </c>
      <c r="S34" s="232">
        <f t="shared" si="5"/>
        <v>5</v>
      </c>
      <c r="T34" s="534">
        <f t="shared" si="2"/>
        <v>5</v>
      </c>
      <c r="U34" s="564"/>
      <c r="V34" s="565"/>
    </row>
    <row r="35" s="214" customFormat="1" ht="17.1" customHeight="1" spans="1:22">
      <c r="A35" s="337" t="s">
        <v>533</v>
      </c>
      <c r="B35" s="538" t="s">
        <v>284</v>
      </c>
      <c r="C35" s="232">
        <v>163</v>
      </c>
      <c r="D35" s="232">
        <f t="shared" si="3"/>
        <v>14</v>
      </c>
      <c r="E35" s="545"/>
      <c r="F35" s="548"/>
      <c r="G35" s="545"/>
      <c r="H35" s="545"/>
      <c r="I35" s="236">
        <v>7</v>
      </c>
      <c r="J35" s="553">
        <v>7</v>
      </c>
      <c r="K35" s="232"/>
      <c r="L35" s="232"/>
      <c r="M35" s="236"/>
      <c r="N35" s="232"/>
      <c r="O35" s="232"/>
      <c r="P35" s="232">
        <v>0</v>
      </c>
      <c r="Q35" s="232">
        <f t="shared" si="4"/>
        <v>177</v>
      </c>
      <c r="R35" s="232">
        <v>177</v>
      </c>
      <c r="S35" s="232">
        <f t="shared" si="5"/>
        <v>0</v>
      </c>
      <c r="T35" s="534">
        <f t="shared" si="2"/>
        <v>0</v>
      </c>
      <c r="U35" s="564"/>
      <c r="V35" s="565"/>
    </row>
    <row r="36" s="214" customFormat="1" ht="17.1" customHeight="1" spans="1:22">
      <c r="A36" s="337" t="s">
        <v>534</v>
      </c>
      <c r="B36" s="538" t="s">
        <v>285</v>
      </c>
      <c r="C36" s="232">
        <v>0</v>
      </c>
      <c r="D36" s="232">
        <f t="shared" si="3"/>
        <v>0</v>
      </c>
      <c r="E36" s="545"/>
      <c r="F36" s="232"/>
      <c r="G36" s="545"/>
      <c r="H36" s="545"/>
      <c r="I36" s="236"/>
      <c r="J36" s="553"/>
      <c r="K36" s="232"/>
      <c r="L36" s="232"/>
      <c r="M36" s="236"/>
      <c r="N36" s="232"/>
      <c r="O36" s="232"/>
      <c r="P36" s="232">
        <v>0</v>
      </c>
      <c r="Q36" s="232">
        <f t="shared" si="4"/>
        <v>0</v>
      </c>
      <c r="R36" s="232"/>
      <c r="S36" s="232">
        <f t="shared" si="5"/>
        <v>0</v>
      </c>
      <c r="T36" s="534">
        <f t="shared" si="2"/>
        <v>0</v>
      </c>
      <c r="U36" s="564"/>
      <c r="V36" s="565"/>
    </row>
    <row r="37" s="214" customFormat="1" ht="17.1" customHeight="1" spans="1:22">
      <c r="A37" s="337" t="s">
        <v>535</v>
      </c>
      <c r="B37" s="538" t="s">
        <v>286</v>
      </c>
      <c r="C37" s="232">
        <v>2252</v>
      </c>
      <c r="D37" s="232">
        <f t="shared" si="3"/>
        <v>-1238</v>
      </c>
      <c r="E37" s="545"/>
      <c r="F37" s="548"/>
      <c r="G37" s="545"/>
      <c r="H37" s="545"/>
      <c r="I37" s="236"/>
      <c r="J37" s="232">
        <f>254+2709+760</f>
        <v>3723</v>
      </c>
      <c r="K37" s="232"/>
      <c r="L37" s="232"/>
      <c r="M37" s="236"/>
      <c r="N37" s="232">
        <v>-2252</v>
      </c>
      <c r="O37" s="232">
        <v>-2709</v>
      </c>
      <c r="P37" s="232">
        <v>0</v>
      </c>
      <c r="Q37" s="232">
        <f t="shared" si="4"/>
        <v>1014</v>
      </c>
      <c r="R37" s="232">
        <v>1014</v>
      </c>
      <c r="S37" s="232">
        <f t="shared" si="5"/>
        <v>0</v>
      </c>
      <c r="T37" s="534">
        <f t="shared" si="2"/>
        <v>0</v>
      </c>
      <c r="U37" s="564"/>
      <c r="V37" s="565"/>
    </row>
    <row r="38" s="518" customFormat="1" ht="16.9" customHeight="1" spans="1:22">
      <c r="A38" s="535" t="s">
        <v>536</v>
      </c>
      <c r="B38" s="535" t="s">
        <v>537</v>
      </c>
      <c r="C38" s="536">
        <f t="shared" ref="C38:I38" si="6">SUM(C39:C47)</f>
        <v>0</v>
      </c>
      <c r="D38" s="536">
        <f t="shared" si="6"/>
        <v>0</v>
      </c>
      <c r="E38" s="536">
        <f t="shared" si="6"/>
        <v>0</v>
      </c>
      <c r="F38" s="536"/>
      <c r="G38" s="536">
        <f t="shared" si="6"/>
        <v>0</v>
      </c>
      <c r="H38" s="536">
        <f t="shared" si="6"/>
        <v>0</v>
      </c>
      <c r="I38" s="536">
        <f t="shared" si="6"/>
        <v>0</v>
      </c>
      <c r="J38" s="536"/>
      <c r="K38" s="536">
        <f t="shared" ref="K38:R38" si="7">SUM(K39:K47)</f>
        <v>0</v>
      </c>
      <c r="L38" s="536">
        <f t="shared" si="7"/>
        <v>0</v>
      </c>
      <c r="M38" s="536">
        <f t="shared" si="7"/>
        <v>0</v>
      </c>
      <c r="N38" s="536">
        <f t="shared" si="7"/>
        <v>0</v>
      </c>
      <c r="O38" s="536">
        <f t="shared" si="7"/>
        <v>0</v>
      </c>
      <c r="P38" s="536">
        <f t="shared" si="7"/>
        <v>0</v>
      </c>
      <c r="Q38" s="536">
        <f t="shared" si="7"/>
        <v>0</v>
      </c>
      <c r="R38" s="536">
        <f t="shared" si="7"/>
        <v>0</v>
      </c>
      <c r="S38" s="536">
        <f t="shared" si="5"/>
        <v>0</v>
      </c>
      <c r="T38" s="536">
        <f t="shared" si="2"/>
        <v>0</v>
      </c>
      <c r="U38" s="562"/>
      <c r="V38" s="563"/>
    </row>
    <row r="39" s="214" customFormat="1" ht="16.9" customHeight="1" spans="1:22">
      <c r="A39" s="337" t="s">
        <v>538</v>
      </c>
      <c r="B39" s="356" t="s">
        <v>288</v>
      </c>
      <c r="C39" s="232">
        <v>0</v>
      </c>
      <c r="D39" s="232">
        <f t="shared" ref="D39:D47" si="8">SUM(E39:P39)</f>
        <v>0</v>
      </c>
      <c r="E39" s="545">
        <v>0</v>
      </c>
      <c r="F39" s="548">
        <v>0</v>
      </c>
      <c r="G39" s="545">
        <v>0</v>
      </c>
      <c r="H39" s="545">
        <v>0</v>
      </c>
      <c r="I39" s="545">
        <v>0</v>
      </c>
      <c r="J39" s="232"/>
      <c r="K39" s="232">
        <v>0</v>
      </c>
      <c r="L39" s="232">
        <v>0</v>
      </c>
      <c r="M39" s="236"/>
      <c r="N39" s="232">
        <v>0</v>
      </c>
      <c r="O39" s="232">
        <v>0</v>
      </c>
      <c r="P39" s="232">
        <v>0</v>
      </c>
      <c r="Q39" s="232">
        <f t="shared" ref="Q39:Q47" si="9">C39+D39</f>
        <v>0</v>
      </c>
      <c r="R39" s="232">
        <v>0</v>
      </c>
      <c r="S39" s="534">
        <f t="shared" si="5"/>
        <v>0</v>
      </c>
      <c r="T39" s="534">
        <f t="shared" si="2"/>
        <v>0</v>
      </c>
      <c r="U39" s="564"/>
      <c r="V39" s="565"/>
    </row>
    <row r="40" s="214" customFormat="1" ht="16.9" customHeight="1" spans="1:22">
      <c r="A40" s="337" t="s">
        <v>539</v>
      </c>
      <c r="B40" s="356" t="s">
        <v>289</v>
      </c>
      <c r="C40" s="232"/>
      <c r="D40" s="232">
        <f t="shared" si="8"/>
        <v>0</v>
      </c>
      <c r="E40" s="545"/>
      <c r="F40" s="548"/>
      <c r="G40" s="545"/>
      <c r="H40" s="545"/>
      <c r="I40" s="545"/>
      <c r="J40" s="232"/>
      <c r="K40" s="232"/>
      <c r="L40" s="232"/>
      <c r="M40" s="236"/>
      <c r="N40" s="232"/>
      <c r="O40" s="232"/>
      <c r="P40" s="232"/>
      <c r="Q40" s="232">
        <f t="shared" si="9"/>
        <v>0</v>
      </c>
      <c r="R40" s="232"/>
      <c r="S40" s="534">
        <f t="shared" si="5"/>
        <v>0</v>
      </c>
      <c r="T40" s="534">
        <f t="shared" si="2"/>
        <v>0</v>
      </c>
      <c r="U40" s="564"/>
      <c r="V40" s="565"/>
    </row>
    <row r="41" s="214" customFormat="1" ht="16.9" customHeight="1" spans="1:22">
      <c r="A41" s="337" t="s">
        <v>540</v>
      </c>
      <c r="B41" s="356" t="s">
        <v>290</v>
      </c>
      <c r="C41" s="232"/>
      <c r="D41" s="232">
        <f t="shared" si="8"/>
        <v>0</v>
      </c>
      <c r="E41" s="545"/>
      <c r="F41" s="548"/>
      <c r="G41" s="545"/>
      <c r="H41" s="545"/>
      <c r="I41" s="545"/>
      <c r="J41" s="232"/>
      <c r="K41" s="232"/>
      <c r="L41" s="232"/>
      <c r="M41" s="236"/>
      <c r="N41" s="232"/>
      <c r="O41" s="232"/>
      <c r="P41" s="232"/>
      <c r="Q41" s="232">
        <f t="shared" si="9"/>
        <v>0</v>
      </c>
      <c r="R41" s="232"/>
      <c r="S41" s="534">
        <f t="shared" si="5"/>
        <v>0</v>
      </c>
      <c r="T41" s="534">
        <f t="shared" si="2"/>
        <v>0</v>
      </c>
      <c r="U41" s="564"/>
      <c r="V41" s="565"/>
    </row>
    <row r="42" s="214" customFormat="1" ht="16.9" customHeight="1" spans="1:22">
      <c r="A42" s="337" t="s">
        <v>541</v>
      </c>
      <c r="B42" s="334" t="s">
        <v>291</v>
      </c>
      <c r="C42" s="232"/>
      <c r="D42" s="232">
        <f t="shared" si="8"/>
        <v>0</v>
      </c>
      <c r="E42" s="545"/>
      <c r="F42" s="548"/>
      <c r="G42" s="545"/>
      <c r="H42" s="545"/>
      <c r="I42" s="545"/>
      <c r="J42" s="232"/>
      <c r="K42" s="232"/>
      <c r="L42" s="232"/>
      <c r="M42" s="236"/>
      <c r="N42" s="232"/>
      <c r="O42" s="232"/>
      <c r="P42" s="232"/>
      <c r="Q42" s="232">
        <f t="shared" si="9"/>
        <v>0</v>
      </c>
      <c r="R42" s="232"/>
      <c r="S42" s="534">
        <f t="shared" si="5"/>
        <v>0</v>
      </c>
      <c r="T42" s="534">
        <f t="shared" si="2"/>
        <v>0</v>
      </c>
      <c r="U42" s="564"/>
      <c r="V42" s="565"/>
    </row>
    <row r="43" s="214" customFormat="1" ht="16.9" customHeight="1" spans="1:22">
      <c r="A43" s="337" t="s">
        <v>542</v>
      </c>
      <c r="B43" s="334" t="s">
        <v>292</v>
      </c>
      <c r="C43" s="232"/>
      <c r="D43" s="232">
        <f t="shared" si="8"/>
        <v>0</v>
      </c>
      <c r="E43" s="545"/>
      <c r="F43" s="548"/>
      <c r="G43" s="545"/>
      <c r="H43" s="545"/>
      <c r="I43" s="545"/>
      <c r="J43" s="232"/>
      <c r="K43" s="232"/>
      <c r="L43" s="232"/>
      <c r="M43" s="236"/>
      <c r="N43" s="232"/>
      <c r="O43" s="232"/>
      <c r="P43" s="232"/>
      <c r="Q43" s="232">
        <f t="shared" si="9"/>
        <v>0</v>
      </c>
      <c r="R43" s="232"/>
      <c r="S43" s="534">
        <f t="shared" si="5"/>
        <v>0</v>
      </c>
      <c r="T43" s="534">
        <f t="shared" si="2"/>
        <v>0</v>
      </c>
      <c r="U43" s="564"/>
      <c r="V43" s="565"/>
    </row>
    <row r="44" s="214" customFormat="1" ht="16.9" customHeight="1" spans="1:22">
      <c r="A44" s="337" t="s">
        <v>543</v>
      </c>
      <c r="B44" s="334" t="s">
        <v>293</v>
      </c>
      <c r="C44" s="232"/>
      <c r="D44" s="232">
        <f t="shared" si="8"/>
        <v>0</v>
      </c>
      <c r="E44" s="545"/>
      <c r="F44" s="548"/>
      <c r="G44" s="545"/>
      <c r="H44" s="545"/>
      <c r="I44" s="545"/>
      <c r="J44" s="232"/>
      <c r="K44" s="232"/>
      <c r="L44" s="232"/>
      <c r="M44" s="236"/>
      <c r="N44" s="232"/>
      <c r="O44" s="232"/>
      <c r="P44" s="232"/>
      <c r="Q44" s="232">
        <f t="shared" si="9"/>
        <v>0</v>
      </c>
      <c r="R44" s="232"/>
      <c r="S44" s="534">
        <f t="shared" si="5"/>
        <v>0</v>
      </c>
      <c r="T44" s="534">
        <f t="shared" si="2"/>
        <v>0</v>
      </c>
      <c r="U44" s="564"/>
      <c r="V44" s="565"/>
    </row>
    <row r="45" s="214" customFormat="1" ht="16.9" customHeight="1" spans="1:22">
      <c r="A45" s="337" t="s">
        <v>544</v>
      </c>
      <c r="B45" s="334" t="s">
        <v>294</v>
      </c>
      <c r="C45" s="232"/>
      <c r="D45" s="232">
        <f t="shared" si="8"/>
        <v>0</v>
      </c>
      <c r="E45" s="545"/>
      <c r="F45" s="548"/>
      <c r="G45" s="545"/>
      <c r="H45" s="545"/>
      <c r="I45" s="545"/>
      <c r="J45" s="232"/>
      <c r="K45" s="232"/>
      <c r="L45" s="232"/>
      <c r="M45" s="236"/>
      <c r="N45" s="232"/>
      <c r="O45" s="232"/>
      <c r="P45" s="232"/>
      <c r="Q45" s="232">
        <f t="shared" si="9"/>
        <v>0</v>
      </c>
      <c r="R45" s="232"/>
      <c r="S45" s="534">
        <f t="shared" si="5"/>
        <v>0</v>
      </c>
      <c r="T45" s="534">
        <f t="shared" si="2"/>
        <v>0</v>
      </c>
      <c r="U45" s="564"/>
      <c r="V45" s="565"/>
    </row>
    <row r="46" s="214" customFormat="1" ht="16.9" customHeight="1" spans="1:22">
      <c r="A46" s="337" t="s">
        <v>545</v>
      </c>
      <c r="B46" s="334" t="s">
        <v>295</v>
      </c>
      <c r="C46" s="232"/>
      <c r="D46" s="232">
        <f t="shared" si="8"/>
        <v>0</v>
      </c>
      <c r="E46" s="545"/>
      <c r="F46" s="548"/>
      <c r="G46" s="545"/>
      <c r="H46" s="545"/>
      <c r="I46" s="545"/>
      <c r="J46" s="232"/>
      <c r="K46" s="232"/>
      <c r="L46" s="232"/>
      <c r="M46" s="236"/>
      <c r="N46" s="232"/>
      <c r="O46" s="232"/>
      <c r="P46" s="232"/>
      <c r="Q46" s="232">
        <f t="shared" si="9"/>
        <v>0</v>
      </c>
      <c r="R46" s="232"/>
      <c r="S46" s="534">
        <f t="shared" si="5"/>
        <v>0</v>
      </c>
      <c r="T46" s="534">
        <f t="shared" si="2"/>
        <v>0</v>
      </c>
      <c r="U46" s="564"/>
      <c r="V46" s="565"/>
    </row>
    <row r="47" s="214" customFormat="1" ht="16.9" customHeight="1" spans="1:22">
      <c r="A47" s="337" t="s">
        <v>546</v>
      </c>
      <c r="B47" s="356" t="s">
        <v>296</v>
      </c>
      <c r="C47" s="232">
        <v>0</v>
      </c>
      <c r="D47" s="232">
        <f t="shared" si="8"/>
        <v>0</v>
      </c>
      <c r="E47" s="545">
        <v>0</v>
      </c>
      <c r="F47" s="548">
        <v>0</v>
      </c>
      <c r="G47" s="545">
        <v>0</v>
      </c>
      <c r="H47" s="545">
        <v>0</v>
      </c>
      <c r="I47" s="545">
        <v>0</v>
      </c>
      <c r="J47" s="232"/>
      <c r="K47" s="232">
        <v>0</v>
      </c>
      <c r="L47" s="232">
        <v>0</v>
      </c>
      <c r="M47" s="236"/>
      <c r="N47" s="232">
        <v>0</v>
      </c>
      <c r="O47" s="232">
        <v>0</v>
      </c>
      <c r="P47" s="232">
        <v>0</v>
      </c>
      <c r="Q47" s="232">
        <f t="shared" si="9"/>
        <v>0</v>
      </c>
      <c r="R47" s="232">
        <v>0</v>
      </c>
      <c r="S47" s="534">
        <f t="shared" si="5"/>
        <v>0</v>
      </c>
      <c r="T47" s="534">
        <f t="shared" si="2"/>
        <v>0</v>
      </c>
      <c r="U47" s="564"/>
      <c r="V47" s="565"/>
    </row>
    <row r="48" s="518" customFormat="1" ht="16.9" customHeight="1" spans="1:22">
      <c r="A48" s="535" t="s">
        <v>547</v>
      </c>
      <c r="B48" s="535" t="s">
        <v>548</v>
      </c>
      <c r="C48" s="536">
        <f t="shared" ref="C48:R48" si="10">SUM(C49:C53)</f>
        <v>20</v>
      </c>
      <c r="D48" s="536">
        <f t="shared" si="10"/>
        <v>166</v>
      </c>
      <c r="E48" s="536">
        <f t="shared" si="10"/>
        <v>0</v>
      </c>
      <c r="F48" s="536">
        <f t="shared" si="10"/>
        <v>1</v>
      </c>
      <c r="G48" s="536">
        <f t="shared" si="10"/>
        <v>0</v>
      </c>
      <c r="H48" s="536">
        <f t="shared" si="10"/>
        <v>0</v>
      </c>
      <c r="I48" s="536">
        <f t="shared" si="10"/>
        <v>51</v>
      </c>
      <c r="J48" s="536">
        <f t="shared" si="10"/>
        <v>103</v>
      </c>
      <c r="K48" s="536">
        <f t="shared" si="10"/>
        <v>0</v>
      </c>
      <c r="L48" s="536">
        <f t="shared" si="10"/>
        <v>0</v>
      </c>
      <c r="M48" s="536">
        <f t="shared" si="10"/>
        <v>0</v>
      </c>
      <c r="N48" s="536">
        <f t="shared" si="10"/>
        <v>0</v>
      </c>
      <c r="O48" s="536">
        <f t="shared" si="10"/>
        <v>0</v>
      </c>
      <c r="P48" s="536">
        <f t="shared" si="10"/>
        <v>11</v>
      </c>
      <c r="Q48" s="536">
        <f t="shared" si="10"/>
        <v>186</v>
      </c>
      <c r="R48" s="536">
        <f t="shared" si="10"/>
        <v>163</v>
      </c>
      <c r="S48" s="536">
        <f t="shared" si="5"/>
        <v>23</v>
      </c>
      <c r="T48" s="536">
        <f t="shared" si="2"/>
        <v>23</v>
      </c>
      <c r="U48" s="562"/>
      <c r="V48" s="563"/>
    </row>
    <row r="49" s="214" customFormat="1" ht="16.9" customHeight="1" spans="1:22">
      <c r="A49" s="337" t="s">
        <v>549</v>
      </c>
      <c r="B49" s="334" t="s">
        <v>298</v>
      </c>
      <c r="C49" s="540"/>
      <c r="D49" s="232">
        <f t="shared" ref="D49:D53" si="11">SUM(E49:P49)</f>
        <v>0</v>
      </c>
      <c r="E49" s="545">
        <v>0</v>
      </c>
      <c r="F49" s="548"/>
      <c r="G49" s="545">
        <v>0</v>
      </c>
      <c r="H49" s="545">
        <v>0</v>
      </c>
      <c r="I49" s="545"/>
      <c r="J49" s="232"/>
      <c r="K49" s="232"/>
      <c r="L49" s="232"/>
      <c r="M49" s="236"/>
      <c r="N49" s="232"/>
      <c r="O49" s="232"/>
      <c r="P49" s="232">
        <v>0</v>
      </c>
      <c r="Q49" s="232">
        <f t="shared" ref="Q49:Q53" si="12">C49+D49</f>
        <v>0</v>
      </c>
      <c r="R49" s="232"/>
      <c r="S49" s="232">
        <f t="shared" si="5"/>
        <v>0</v>
      </c>
      <c r="T49" s="534">
        <f t="shared" si="2"/>
        <v>0</v>
      </c>
      <c r="U49" s="564"/>
      <c r="V49" s="565"/>
    </row>
    <row r="50" s="214" customFormat="1" ht="16.9" customHeight="1" spans="1:22">
      <c r="A50" s="337" t="s">
        <v>550</v>
      </c>
      <c r="B50" s="334" t="s">
        <v>299</v>
      </c>
      <c r="C50" s="540"/>
      <c r="D50" s="232">
        <f t="shared" si="11"/>
        <v>0</v>
      </c>
      <c r="E50" s="545"/>
      <c r="F50" s="548"/>
      <c r="G50" s="545"/>
      <c r="H50" s="545"/>
      <c r="I50" s="545"/>
      <c r="J50" s="232"/>
      <c r="K50" s="232"/>
      <c r="L50" s="232"/>
      <c r="M50" s="236"/>
      <c r="N50" s="232"/>
      <c r="O50" s="232"/>
      <c r="P50" s="232"/>
      <c r="Q50" s="232">
        <f t="shared" si="12"/>
        <v>0</v>
      </c>
      <c r="R50" s="232"/>
      <c r="S50" s="232">
        <f t="shared" si="5"/>
        <v>0</v>
      </c>
      <c r="T50" s="534">
        <f t="shared" si="2"/>
        <v>0</v>
      </c>
      <c r="U50" s="564"/>
      <c r="V50" s="565"/>
    </row>
    <row r="51" s="214" customFormat="1" ht="16.9" customHeight="1" spans="1:22">
      <c r="A51" s="337" t="s">
        <v>551</v>
      </c>
      <c r="B51" s="334" t="s">
        <v>300</v>
      </c>
      <c r="C51" s="540"/>
      <c r="D51" s="232">
        <f t="shared" si="11"/>
        <v>0</v>
      </c>
      <c r="E51" s="545"/>
      <c r="F51" s="548"/>
      <c r="G51" s="545"/>
      <c r="H51" s="545"/>
      <c r="I51" s="545"/>
      <c r="J51" s="232"/>
      <c r="K51" s="232"/>
      <c r="L51" s="232"/>
      <c r="M51" s="236"/>
      <c r="N51" s="232"/>
      <c r="O51" s="232"/>
      <c r="P51" s="232"/>
      <c r="Q51" s="232">
        <f t="shared" si="12"/>
        <v>0</v>
      </c>
      <c r="R51" s="232"/>
      <c r="S51" s="232">
        <f t="shared" si="5"/>
        <v>0</v>
      </c>
      <c r="T51" s="534">
        <f t="shared" si="2"/>
        <v>0</v>
      </c>
      <c r="U51" s="564"/>
      <c r="V51" s="565"/>
    </row>
    <row r="52" s="214" customFormat="1" ht="16.9" customHeight="1" spans="1:22">
      <c r="A52" s="337" t="s">
        <v>552</v>
      </c>
      <c r="B52" s="334" t="s">
        <v>301</v>
      </c>
      <c r="C52" s="540">
        <v>20</v>
      </c>
      <c r="D52" s="232">
        <f t="shared" si="11"/>
        <v>156</v>
      </c>
      <c r="E52" s="545"/>
      <c r="F52" s="548">
        <v>1</v>
      </c>
      <c r="G52" s="545"/>
      <c r="H52" s="545"/>
      <c r="I52" s="236">
        <v>51</v>
      </c>
      <c r="J52" s="232">
        <v>104</v>
      </c>
      <c r="K52" s="232"/>
      <c r="L52" s="232"/>
      <c r="M52" s="236"/>
      <c r="N52" s="232"/>
      <c r="O52" s="232"/>
      <c r="P52" s="232"/>
      <c r="Q52" s="232">
        <f t="shared" si="12"/>
        <v>176</v>
      </c>
      <c r="R52" s="232">
        <v>153</v>
      </c>
      <c r="S52" s="232">
        <f t="shared" si="5"/>
        <v>23</v>
      </c>
      <c r="T52" s="534">
        <f t="shared" si="2"/>
        <v>23</v>
      </c>
      <c r="U52" s="564"/>
      <c r="V52" s="565"/>
    </row>
    <row r="53" s="214" customFormat="1" ht="16.9" customHeight="1" spans="1:22">
      <c r="A53" s="337" t="s">
        <v>553</v>
      </c>
      <c r="B53" s="334" t="s">
        <v>302</v>
      </c>
      <c r="C53" s="232">
        <v>0</v>
      </c>
      <c r="D53" s="232">
        <f t="shared" si="11"/>
        <v>10</v>
      </c>
      <c r="E53" s="545">
        <v>0</v>
      </c>
      <c r="F53" s="548"/>
      <c r="G53" s="545">
        <v>0</v>
      </c>
      <c r="H53" s="545">
        <v>0</v>
      </c>
      <c r="I53" s="545"/>
      <c r="J53" s="548">
        <v>-1</v>
      </c>
      <c r="K53" s="232"/>
      <c r="L53" s="232"/>
      <c r="M53" s="236"/>
      <c r="N53" s="232"/>
      <c r="O53" s="232"/>
      <c r="P53" s="236">
        <v>11</v>
      </c>
      <c r="Q53" s="232">
        <f t="shared" si="12"/>
        <v>10</v>
      </c>
      <c r="R53" s="232">
        <v>10</v>
      </c>
      <c r="S53" s="232">
        <f t="shared" si="5"/>
        <v>0</v>
      </c>
      <c r="T53" s="534">
        <f t="shared" si="2"/>
        <v>0</v>
      </c>
      <c r="U53" s="564"/>
      <c r="V53" s="565"/>
    </row>
    <row r="54" s="518" customFormat="1" ht="16.9" customHeight="1" spans="1:22">
      <c r="A54" s="535" t="s">
        <v>554</v>
      </c>
      <c r="B54" s="535" t="s">
        <v>555</v>
      </c>
      <c r="C54" s="536">
        <f t="shared" ref="C54:R54" si="13">SUM(C55:C65)</f>
        <v>10731</v>
      </c>
      <c r="D54" s="536">
        <f t="shared" si="13"/>
        <v>-1258</v>
      </c>
      <c r="E54" s="536">
        <f t="shared" si="13"/>
        <v>0</v>
      </c>
      <c r="F54" s="536">
        <f t="shared" si="13"/>
        <v>0</v>
      </c>
      <c r="G54" s="536">
        <f t="shared" si="13"/>
        <v>0</v>
      </c>
      <c r="H54" s="536">
        <f t="shared" si="13"/>
        <v>0</v>
      </c>
      <c r="I54" s="536">
        <f t="shared" si="13"/>
        <v>396</v>
      </c>
      <c r="J54" s="536">
        <f t="shared" si="13"/>
        <v>-618</v>
      </c>
      <c r="K54" s="536">
        <f t="shared" si="13"/>
        <v>0</v>
      </c>
      <c r="L54" s="536">
        <f t="shared" si="13"/>
        <v>0</v>
      </c>
      <c r="M54" s="536">
        <f t="shared" si="13"/>
        <v>2884</v>
      </c>
      <c r="N54" s="536">
        <f t="shared" si="13"/>
        <v>0</v>
      </c>
      <c r="O54" s="536">
        <f t="shared" si="13"/>
        <v>-932</v>
      </c>
      <c r="P54" s="536">
        <f t="shared" si="13"/>
        <v>-2988</v>
      </c>
      <c r="Q54" s="536">
        <f t="shared" si="13"/>
        <v>9473</v>
      </c>
      <c r="R54" s="536">
        <f t="shared" si="13"/>
        <v>9349</v>
      </c>
      <c r="S54" s="536">
        <f t="shared" si="5"/>
        <v>124</v>
      </c>
      <c r="T54" s="536">
        <f t="shared" si="2"/>
        <v>124</v>
      </c>
      <c r="U54" s="562"/>
      <c r="V54" s="563"/>
    </row>
    <row r="55" s="214" customFormat="1" ht="16.9" customHeight="1" spans="1:22">
      <c r="A55" s="335" t="s">
        <v>556</v>
      </c>
      <c r="B55" s="541" t="s">
        <v>557</v>
      </c>
      <c r="C55" s="540">
        <v>12</v>
      </c>
      <c r="D55" s="232">
        <f t="shared" ref="D55:D65" si="14">SUM(E55:P55)</f>
        <v>16</v>
      </c>
      <c r="E55" s="545">
        <v>0</v>
      </c>
      <c r="F55" s="548"/>
      <c r="G55" s="545"/>
      <c r="H55" s="545"/>
      <c r="I55" s="236"/>
      <c r="J55" s="232">
        <v>3</v>
      </c>
      <c r="K55" s="232"/>
      <c r="L55" s="232"/>
      <c r="M55" s="236"/>
      <c r="N55" s="232"/>
      <c r="O55" s="232"/>
      <c r="P55" s="232">
        <v>13</v>
      </c>
      <c r="Q55" s="232">
        <f t="shared" ref="Q55:Q65" si="15">C55+D55</f>
        <v>28</v>
      </c>
      <c r="R55" s="232">
        <v>28</v>
      </c>
      <c r="S55" s="232">
        <f t="shared" si="5"/>
        <v>0</v>
      </c>
      <c r="T55" s="534">
        <f t="shared" si="2"/>
        <v>0</v>
      </c>
      <c r="U55" s="564"/>
      <c r="V55" s="565"/>
    </row>
    <row r="56" s="214" customFormat="1" ht="16.9" customHeight="1" spans="1:22">
      <c r="A56" s="335" t="s">
        <v>558</v>
      </c>
      <c r="B56" s="541" t="s">
        <v>559</v>
      </c>
      <c r="C56" s="540">
        <v>9851</v>
      </c>
      <c r="D56" s="232">
        <f t="shared" si="14"/>
        <v>-1420</v>
      </c>
      <c r="E56" s="545">
        <v>0</v>
      </c>
      <c r="F56" s="548"/>
      <c r="G56" s="545"/>
      <c r="H56" s="545"/>
      <c r="I56" s="236">
        <v>357</v>
      </c>
      <c r="J56" s="548">
        <f>-1655+917</f>
        <v>-738</v>
      </c>
      <c r="K56" s="232"/>
      <c r="L56" s="232"/>
      <c r="M56" s="236">
        <v>2884</v>
      </c>
      <c r="N56" s="232"/>
      <c r="O56" s="232">
        <f>-6-917</f>
        <v>-923</v>
      </c>
      <c r="P56" s="232">
        <v>-3000</v>
      </c>
      <c r="Q56" s="232">
        <f t="shared" si="15"/>
        <v>8431</v>
      </c>
      <c r="R56" s="232">
        <v>8323</v>
      </c>
      <c r="S56" s="232">
        <f t="shared" si="5"/>
        <v>108</v>
      </c>
      <c r="T56" s="534">
        <f t="shared" si="2"/>
        <v>108</v>
      </c>
      <c r="U56" s="564"/>
      <c r="V56" s="565"/>
    </row>
    <row r="57" s="214" customFormat="1" ht="16.9" customHeight="1" spans="1:22">
      <c r="A57" s="335" t="s">
        <v>560</v>
      </c>
      <c r="B57" s="541" t="s">
        <v>561</v>
      </c>
      <c r="C57" s="540">
        <v>65</v>
      </c>
      <c r="D57" s="232">
        <f t="shared" si="14"/>
        <v>-65</v>
      </c>
      <c r="E57" s="545">
        <v>0</v>
      </c>
      <c r="F57" s="548"/>
      <c r="G57" s="545"/>
      <c r="H57" s="545"/>
      <c r="I57" s="236"/>
      <c r="J57" s="548">
        <v>-65</v>
      </c>
      <c r="K57" s="232"/>
      <c r="L57" s="232"/>
      <c r="M57" s="236"/>
      <c r="N57" s="232"/>
      <c r="O57" s="232"/>
      <c r="P57" s="232">
        <v>0</v>
      </c>
      <c r="Q57" s="232">
        <f t="shared" si="15"/>
        <v>0</v>
      </c>
      <c r="R57" s="232"/>
      <c r="S57" s="232">
        <f t="shared" si="5"/>
        <v>0</v>
      </c>
      <c r="T57" s="534">
        <f t="shared" si="2"/>
        <v>0</v>
      </c>
      <c r="U57" s="564"/>
      <c r="V57" s="565"/>
    </row>
    <row r="58" s="214" customFormat="1" ht="16.9" customHeight="1" spans="1:22">
      <c r="A58" s="335" t="s">
        <v>562</v>
      </c>
      <c r="B58" s="541" t="s">
        <v>563</v>
      </c>
      <c r="C58" s="540">
        <v>0</v>
      </c>
      <c r="D58" s="232">
        <f t="shared" si="14"/>
        <v>0</v>
      </c>
      <c r="E58" s="545">
        <v>0</v>
      </c>
      <c r="F58" s="548"/>
      <c r="G58" s="545"/>
      <c r="H58" s="545"/>
      <c r="I58" s="236"/>
      <c r="J58" s="232"/>
      <c r="K58" s="232"/>
      <c r="L58" s="232"/>
      <c r="M58" s="236"/>
      <c r="N58" s="232"/>
      <c r="O58" s="232"/>
      <c r="P58" s="232">
        <v>0</v>
      </c>
      <c r="Q58" s="232">
        <f t="shared" si="15"/>
        <v>0</v>
      </c>
      <c r="R58" s="232"/>
      <c r="S58" s="232">
        <f t="shared" si="5"/>
        <v>0</v>
      </c>
      <c r="T58" s="534">
        <f t="shared" si="2"/>
        <v>0</v>
      </c>
      <c r="U58" s="564"/>
      <c r="V58" s="565"/>
    </row>
    <row r="59" s="214" customFormat="1" ht="16.9" customHeight="1" spans="1:22">
      <c r="A59" s="335" t="s">
        <v>564</v>
      </c>
      <c r="B59" s="541" t="s">
        <v>565</v>
      </c>
      <c r="C59" s="540">
        <v>0</v>
      </c>
      <c r="D59" s="232">
        <f t="shared" si="14"/>
        <v>0</v>
      </c>
      <c r="E59" s="545">
        <v>0</v>
      </c>
      <c r="F59" s="548"/>
      <c r="G59" s="545"/>
      <c r="H59" s="545"/>
      <c r="I59" s="236"/>
      <c r="J59" s="232"/>
      <c r="K59" s="232"/>
      <c r="L59" s="232"/>
      <c r="M59" s="236"/>
      <c r="N59" s="232"/>
      <c r="O59" s="232"/>
      <c r="P59" s="232">
        <v>0</v>
      </c>
      <c r="Q59" s="232">
        <f t="shared" si="15"/>
        <v>0</v>
      </c>
      <c r="R59" s="232"/>
      <c r="S59" s="232">
        <f t="shared" si="5"/>
        <v>0</v>
      </c>
      <c r="T59" s="534">
        <f t="shared" si="2"/>
        <v>0</v>
      </c>
      <c r="U59" s="564"/>
      <c r="V59" s="565"/>
    </row>
    <row r="60" s="214" customFormat="1" ht="16.9" customHeight="1" spans="1:22">
      <c r="A60" s="335" t="s">
        <v>566</v>
      </c>
      <c r="B60" s="541" t="s">
        <v>567</v>
      </c>
      <c r="C60" s="540">
        <v>803</v>
      </c>
      <c r="D60" s="232">
        <f t="shared" si="14"/>
        <v>178</v>
      </c>
      <c r="E60" s="545">
        <v>0</v>
      </c>
      <c r="F60" s="548"/>
      <c r="G60" s="545"/>
      <c r="H60" s="545"/>
      <c r="I60" s="236">
        <v>39</v>
      </c>
      <c r="J60" s="232">
        <v>149</v>
      </c>
      <c r="K60" s="232"/>
      <c r="L60" s="232"/>
      <c r="M60" s="236"/>
      <c r="N60" s="232"/>
      <c r="O60" s="232">
        <v>-9</v>
      </c>
      <c r="P60" s="232">
        <v>-1</v>
      </c>
      <c r="Q60" s="232">
        <f t="shared" si="15"/>
        <v>981</v>
      </c>
      <c r="R60" s="232">
        <v>966</v>
      </c>
      <c r="S60" s="232">
        <f t="shared" si="5"/>
        <v>15</v>
      </c>
      <c r="T60" s="534">
        <f t="shared" si="2"/>
        <v>15</v>
      </c>
      <c r="U60" s="564"/>
      <c r="V60" s="565"/>
    </row>
    <row r="61" s="214" customFormat="1" ht="16.9" customHeight="1" spans="1:22">
      <c r="A61" s="335" t="s">
        <v>568</v>
      </c>
      <c r="B61" s="541" t="s">
        <v>569</v>
      </c>
      <c r="C61" s="540">
        <v>0</v>
      </c>
      <c r="D61" s="232">
        <f t="shared" si="14"/>
        <v>0</v>
      </c>
      <c r="E61" s="545">
        <v>0</v>
      </c>
      <c r="F61" s="548"/>
      <c r="G61" s="545"/>
      <c r="H61" s="545"/>
      <c r="I61" s="236"/>
      <c r="J61" s="232"/>
      <c r="K61" s="232"/>
      <c r="L61" s="232"/>
      <c r="M61" s="236"/>
      <c r="N61" s="232"/>
      <c r="O61" s="232"/>
      <c r="P61" s="232">
        <v>0</v>
      </c>
      <c r="Q61" s="232">
        <f t="shared" si="15"/>
        <v>0</v>
      </c>
      <c r="R61" s="232"/>
      <c r="S61" s="232">
        <f t="shared" si="5"/>
        <v>0</v>
      </c>
      <c r="T61" s="534">
        <f t="shared" si="2"/>
        <v>0</v>
      </c>
      <c r="U61" s="564"/>
      <c r="V61" s="565"/>
    </row>
    <row r="62" s="214" customFormat="1" ht="16.9" customHeight="1" spans="1:22">
      <c r="A62" s="335" t="s">
        <v>570</v>
      </c>
      <c r="B62" s="665" t="s">
        <v>571</v>
      </c>
      <c r="C62" s="540">
        <v>0</v>
      </c>
      <c r="D62" s="232">
        <f t="shared" si="14"/>
        <v>0</v>
      </c>
      <c r="E62" s="545">
        <v>0</v>
      </c>
      <c r="F62" s="548"/>
      <c r="G62" s="545"/>
      <c r="H62" s="545"/>
      <c r="I62" s="236"/>
      <c r="J62" s="232"/>
      <c r="K62" s="232"/>
      <c r="L62" s="232"/>
      <c r="M62" s="236"/>
      <c r="N62" s="232"/>
      <c r="O62" s="232"/>
      <c r="P62" s="232">
        <v>0</v>
      </c>
      <c r="Q62" s="232">
        <f t="shared" si="15"/>
        <v>0</v>
      </c>
      <c r="R62" s="232"/>
      <c r="S62" s="232">
        <f t="shared" si="5"/>
        <v>0</v>
      </c>
      <c r="T62" s="534">
        <f t="shared" si="2"/>
        <v>0</v>
      </c>
      <c r="U62" s="564"/>
      <c r="V62" s="565"/>
    </row>
    <row r="63" s="214" customFormat="1" ht="16.9" customHeight="1" spans="1:22">
      <c r="A63" s="335" t="s">
        <v>572</v>
      </c>
      <c r="B63" s="541" t="s">
        <v>573</v>
      </c>
      <c r="C63" s="540">
        <v>0</v>
      </c>
      <c r="D63" s="232">
        <f t="shared" si="14"/>
        <v>0</v>
      </c>
      <c r="E63" s="545">
        <v>0</v>
      </c>
      <c r="F63" s="548"/>
      <c r="G63" s="545"/>
      <c r="H63" s="545"/>
      <c r="I63" s="236"/>
      <c r="J63" s="232"/>
      <c r="K63" s="232"/>
      <c r="L63" s="232"/>
      <c r="M63" s="236"/>
      <c r="N63" s="232"/>
      <c r="O63" s="232"/>
      <c r="P63" s="232">
        <v>0</v>
      </c>
      <c r="Q63" s="232">
        <f t="shared" si="15"/>
        <v>0</v>
      </c>
      <c r="R63" s="232"/>
      <c r="S63" s="232">
        <f t="shared" si="5"/>
        <v>0</v>
      </c>
      <c r="T63" s="534">
        <f t="shared" si="2"/>
        <v>0</v>
      </c>
      <c r="U63" s="564"/>
      <c r="V63" s="565"/>
    </row>
    <row r="64" s="214" customFormat="1" ht="17.1" customHeight="1" spans="1:22">
      <c r="A64" s="335" t="s">
        <v>574</v>
      </c>
      <c r="B64" s="541" t="s">
        <v>575</v>
      </c>
      <c r="C64" s="540">
        <v>0</v>
      </c>
      <c r="D64" s="232">
        <f t="shared" si="14"/>
        <v>0</v>
      </c>
      <c r="E64" s="545">
        <v>0</v>
      </c>
      <c r="F64" s="548"/>
      <c r="G64" s="545"/>
      <c r="H64" s="545"/>
      <c r="I64" s="236"/>
      <c r="J64" s="232"/>
      <c r="K64" s="232"/>
      <c r="L64" s="232"/>
      <c r="M64" s="236"/>
      <c r="N64" s="232"/>
      <c r="O64" s="232"/>
      <c r="P64" s="232">
        <v>0</v>
      </c>
      <c r="Q64" s="232">
        <f t="shared" si="15"/>
        <v>0</v>
      </c>
      <c r="R64" s="232"/>
      <c r="S64" s="232">
        <f t="shared" si="5"/>
        <v>0</v>
      </c>
      <c r="T64" s="534">
        <f t="shared" si="2"/>
        <v>0</v>
      </c>
      <c r="U64" s="564"/>
      <c r="V64" s="565"/>
    </row>
    <row r="65" s="214" customFormat="1" ht="16.9" customHeight="1" spans="1:22">
      <c r="A65" s="335" t="s">
        <v>576</v>
      </c>
      <c r="B65" s="541" t="s">
        <v>577</v>
      </c>
      <c r="C65" s="540">
        <v>0</v>
      </c>
      <c r="D65" s="232">
        <f t="shared" si="14"/>
        <v>33</v>
      </c>
      <c r="E65" s="545">
        <v>0</v>
      </c>
      <c r="F65" s="548"/>
      <c r="G65" s="545"/>
      <c r="H65" s="545"/>
      <c r="I65" s="236"/>
      <c r="J65" s="232">
        <v>33</v>
      </c>
      <c r="K65" s="232"/>
      <c r="L65" s="232"/>
      <c r="M65" s="236"/>
      <c r="N65" s="232"/>
      <c r="O65" s="232"/>
      <c r="P65" s="232">
        <v>0</v>
      </c>
      <c r="Q65" s="232">
        <f t="shared" si="15"/>
        <v>33</v>
      </c>
      <c r="R65" s="232">
        <v>32</v>
      </c>
      <c r="S65" s="232">
        <f t="shared" si="5"/>
        <v>1</v>
      </c>
      <c r="T65" s="534">
        <f t="shared" si="2"/>
        <v>1</v>
      </c>
      <c r="U65" s="564"/>
      <c r="V65" s="565"/>
    </row>
    <row r="66" s="518" customFormat="1" ht="16.9" customHeight="1" spans="1:22">
      <c r="A66" s="535" t="s">
        <v>578</v>
      </c>
      <c r="B66" s="535" t="s">
        <v>579</v>
      </c>
      <c r="C66" s="536">
        <f t="shared" ref="C66:R66" si="16">SUM(C67:C76)</f>
        <v>78779</v>
      </c>
      <c r="D66" s="536">
        <f t="shared" si="16"/>
        <v>-1779</v>
      </c>
      <c r="E66" s="536">
        <f t="shared" si="16"/>
        <v>30</v>
      </c>
      <c r="F66" s="536">
        <f t="shared" si="16"/>
        <v>5943</v>
      </c>
      <c r="G66" s="536">
        <f t="shared" si="16"/>
        <v>0</v>
      </c>
      <c r="H66" s="536">
        <f t="shared" si="16"/>
        <v>0</v>
      </c>
      <c r="I66" s="536">
        <f t="shared" si="16"/>
        <v>958</v>
      </c>
      <c r="J66" s="536">
        <f t="shared" si="16"/>
        <v>9801</v>
      </c>
      <c r="K66" s="536">
        <f t="shared" si="16"/>
        <v>0</v>
      </c>
      <c r="L66" s="536">
        <f t="shared" si="16"/>
        <v>0</v>
      </c>
      <c r="M66" s="536">
        <f t="shared" si="16"/>
        <v>7844</v>
      </c>
      <c r="N66" s="536">
        <f t="shared" si="16"/>
        <v>-6326</v>
      </c>
      <c r="O66" s="536">
        <f t="shared" si="16"/>
        <v>-12064</v>
      </c>
      <c r="P66" s="536">
        <f t="shared" si="16"/>
        <v>-7965</v>
      </c>
      <c r="Q66" s="536">
        <f t="shared" si="16"/>
        <v>77000</v>
      </c>
      <c r="R66" s="536">
        <f t="shared" si="16"/>
        <v>72893</v>
      </c>
      <c r="S66" s="536">
        <f t="shared" si="5"/>
        <v>4107</v>
      </c>
      <c r="T66" s="536">
        <f t="shared" si="2"/>
        <v>4107</v>
      </c>
      <c r="U66" s="562"/>
      <c r="V66" s="563"/>
    </row>
    <row r="67" s="214" customFormat="1" ht="16.9" customHeight="1" spans="1:22">
      <c r="A67" s="335" t="s">
        <v>580</v>
      </c>
      <c r="B67" s="541" t="s">
        <v>581</v>
      </c>
      <c r="C67" s="540">
        <v>143</v>
      </c>
      <c r="D67" s="232">
        <f t="shared" ref="D67:D76" si="17">SUM(E67:P67)</f>
        <v>3101</v>
      </c>
      <c r="E67" s="545">
        <v>0</v>
      </c>
      <c r="F67" s="548">
        <v>3090</v>
      </c>
      <c r="G67" s="545"/>
      <c r="H67" s="545"/>
      <c r="I67" s="236">
        <v>11</v>
      </c>
      <c r="J67" s="232"/>
      <c r="K67" s="232"/>
      <c r="L67" s="232"/>
      <c r="M67" s="236"/>
      <c r="N67" s="232"/>
      <c r="O67" s="232"/>
      <c r="P67" s="232">
        <v>0</v>
      </c>
      <c r="Q67" s="232">
        <f t="shared" ref="Q67:Q76" si="18">C67+D67</f>
        <v>3244</v>
      </c>
      <c r="R67" s="232">
        <v>3244</v>
      </c>
      <c r="S67" s="232">
        <f t="shared" si="5"/>
        <v>0</v>
      </c>
      <c r="T67" s="534">
        <f t="shared" si="2"/>
        <v>0</v>
      </c>
      <c r="U67" s="564"/>
      <c r="V67" s="565"/>
    </row>
    <row r="68" s="214" customFormat="1" ht="16.9" customHeight="1" spans="1:22">
      <c r="A68" s="335" t="s">
        <v>582</v>
      </c>
      <c r="B68" s="541" t="s">
        <v>583</v>
      </c>
      <c r="C68" s="566">
        <v>73806</v>
      </c>
      <c r="D68" s="232">
        <f t="shared" si="17"/>
        <v>-961</v>
      </c>
      <c r="E68" s="545">
        <v>30</v>
      </c>
      <c r="F68" s="548">
        <v>2568</v>
      </c>
      <c r="G68" s="545"/>
      <c r="H68" s="545"/>
      <c r="I68" s="236">
        <v>836</v>
      </c>
      <c r="J68" s="232">
        <f>3109+9511</f>
        <v>12620</v>
      </c>
      <c r="K68" s="232"/>
      <c r="L68" s="567"/>
      <c r="M68" s="236">
        <v>4721</v>
      </c>
      <c r="N68" s="232">
        <v>-5120</v>
      </c>
      <c r="O68" s="569">
        <f>-1349-1000+86-9511</f>
        <v>-11774</v>
      </c>
      <c r="P68" s="232">
        <v>-4842</v>
      </c>
      <c r="Q68" s="232">
        <f t="shared" si="18"/>
        <v>72845</v>
      </c>
      <c r="R68" s="232">
        <v>68826</v>
      </c>
      <c r="S68" s="232">
        <f t="shared" si="5"/>
        <v>4019</v>
      </c>
      <c r="T68" s="534">
        <f t="shared" si="2"/>
        <v>4019</v>
      </c>
      <c r="U68" s="564"/>
      <c r="V68" s="565"/>
    </row>
    <row r="69" s="214" customFormat="1" ht="16.9" customHeight="1" spans="1:22">
      <c r="A69" s="335" t="s">
        <v>584</v>
      </c>
      <c r="B69" s="541" t="s">
        <v>585</v>
      </c>
      <c r="C69" s="540">
        <v>200</v>
      </c>
      <c r="D69" s="232">
        <f t="shared" si="17"/>
        <v>20</v>
      </c>
      <c r="E69" s="545"/>
      <c r="F69" s="548"/>
      <c r="G69" s="545"/>
      <c r="H69" s="545"/>
      <c r="I69" s="236">
        <v>109</v>
      </c>
      <c r="J69" s="548">
        <v>-89</v>
      </c>
      <c r="K69" s="232"/>
      <c r="L69" s="232"/>
      <c r="M69" s="236"/>
      <c r="N69" s="232"/>
      <c r="O69" s="232"/>
      <c r="P69" s="232">
        <v>0</v>
      </c>
      <c r="Q69" s="232">
        <f t="shared" si="18"/>
        <v>220</v>
      </c>
      <c r="R69" s="232">
        <v>143</v>
      </c>
      <c r="S69" s="232">
        <f t="shared" si="5"/>
        <v>77</v>
      </c>
      <c r="T69" s="534">
        <f t="shared" si="2"/>
        <v>77</v>
      </c>
      <c r="U69" s="564"/>
      <c r="V69" s="565"/>
    </row>
    <row r="70" s="214" customFormat="1" ht="16.9" customHeight="1" spans="1:22">
      <c r="A70" s="335" t="s">
        <v>586</v>
      </c>
      <c r="B70" s="541" t="s">
        <v>587</v>
      </c>
      <c r="C70" s="540">
        <v>0</v>
      </c>
      <c r="D70" s="232">
        <f t="shared" si="17"/>
        <v>0</v>
      </c>
      <c r="E70" s="545"/>
      <c r="F70" s="548">
        <v>0</v>
      </c>
      <c r="G70" s="545"/>
      <c r="H70" s="545"/>
      <c r="I70" s="236"/>
      <c r="J70" s="232"/>
      <c r="K70" s="232"/>
      <c r="L70" s="232"/>
      <c r="M70" s="236"/>
      <c r="N70" s="232"/>
      <c r="O70" s="232"/>
      <c r="P70" s="232">
        <v>0</v>
      </c>
      <c r="Q70" s="232">
        <f t="shared" si="18"/>
        <v>0</v>
      </c>
      <c r="R70" s="232"/>
      <c r="S70" s="232">
        <f t="shared" si="5"/>
        <v>0</v>
      </c>
      <c r="T70" s="534">
        <f t="shared" si="2"/>
        <v>0</v>
      </c>
      <c r="U70" s="564"/>
      <c r="V70" s="565"/>
    </row>
    <row r="71" s="214" customFormat="1" ht="16.9" customHeight="1" spans="1:22">
      <c r="A71" s="335" t="s">
        <v>588</v>
      </c>
      <c r="B71" s="541" t="s">
        <v>589</v>
      </c>
      <c r="C71" s="540">
        <v>0</v>
      </c>
      <c r="D71" s="232">
        <f t="shared" si="17"/>
        <v>0</v>
      </c>
      <c r="E71" s="545"/>
      <c r="F71" s="548">
        <v>0</v>
      </c>
      <c r="G71" s="545"/>
      <c r="H71" s="545"/>
      <c r="I71" s="236"/>
      <c r="J71" s="232"/>
      <c r="K71" s="232"/>
      <c r="L71" s="232"/>
      <c r="M71" s="236"/>
      <c r="N71" s="232"/>
      <c r="O71" s="232"/>
      <c r="P71" s="232">
        <v>0</v>
      </c>
      <c r="Q71" s="232">
        <f t="shared" si="18"/>
        <v>0</v>
      </c>
      <c r="R71" s="232"/>
      <c r="S71" s="232">
        <f t="shared" si="5"/>
        <v>0</v>
      </c>
      <c r="T71" s="534">
        <f t="shared" si="2"/>
        <v>0</v>
      </c>
      <c r="U71" s="564"/>
      <c r="V71" s="565"/>
    </row>
    <row r="72" s="214" customFormat="1" ht="16.9" customHeight="1" spans="1:22">
      <c r="A72" s="335" t="s">
        <v>590</v>
      </c>
      <c r="B72" s="541" t="s">
        <v>591</v>
      </c>
      <c r="C72" s="540">
        <v>0</v>
      </c>
      <c r="D72" s="232">
        <f t="shared" si="17"/>
        <v>0</v>
      </c>
      <c r="E72" s="545"/>
      <c r="F72" s="548">
        <v>0</v>
      </c>
      <c r="G72" s="545"/>
      <c r="H72" s="545"/>
      <c r="I72" s="236"/>
      <c r="J72" s="232"/>
      <c r="K72" s="232"/>
      <c r="L72" s="232"/>
      <c r="M72" s="236"/>
      <c r="N72" s="232"/>
      <c r="O72" s="232"/>
      <c r="P72" s="232">
        <v>0</v>
      </c>
      <c r="Q72" s="232">
        <f t="shared" si="18"/>
        <v>0</v>
      </c>
      <c r="R72" s="232"/>
      <c r="S72" s="232">
        <f t="shared" si="5"/>
        <v>0</v>
      </c>
      <c r="T72" s="534">
        <f t="shared" ref="T72:T135" si="19">S72</f>
        <v>0</v>
      </c>
      <c r="U72" s="564"/>
      <c r="V72" s="565"/>
    </row>
    <row r="73" s="214" customFormat="1" ht="16.9" customHeight="1" spans="1:22">
      <c r="A73" s="335" t="s">
        <v>592</v>
      </c>
      <c r="B73" s="541" t="s">
        <v>593</v>
      </c>
      <c r="C73" s="540">
        <v>301</v>
      </c>
      <c r="D73" s="232">
        <f t="shared" si="17"/>
        <v>97</v>
      </c>
      <c r="E73" s="545"/>
      <c r="F73" s="548">
        <v>8</v>
      </c>
      <c r="G73" s="545"/>
      <c r="H73" s="545"/>
      <c r="I73" s="236"/>
      <c r="J73" s="232">
        <v>89</v>
      </c>
      <c r="K73" s="232"/>
      <c r="L73" s="232"/>
      <c r="M73" s="236"/>
      <c r="N73" s="232"/>
      <c r="O73" s="232"/>
      <c r="P73" s="232">
        <v>0</v>
      </c>
      <c r="Q73" s="232">
        <f t="shared" si="18"/>
        <v>398</v>
      </c>
      <c r="R73" s="232">
        <v>387</v>
      </c>
      <c r="S73" s="232">
        <f t="shared" ref="S73:S136" si="20">Q73-R73</f>
        <v>11</v>
      </c>
      <c r="T73" s="534">
        <f t="shared" si="19"/>
        <v>11</v>
      </c>
      <c r="U73" s="564"/>
      <c r="V73" s="565"/>
    </row>
    <row r="74" s="214" customFormat="1" ht="16.9" customHeight="1" spans="1:22">
      <c r="A74" s="335" t="s">
        <v>594</v>
      </c>
      <c r="B74" s="665" t="s">
        <v>595</v>
      </c>
      <c r="C74" s="540">
        <v>266</v>
      </c>
      <c r="D74" s="232">
        <f t="shared" si="17"/>
        <v>13</v>
      </c>
      <c r="E74" s="545"/>
      <c r="F74" s="232">
        <v>277</v>
      </c>
      <c r="G74" s="545"/>
      <c r="H74" s="545"/>
      <c r="I74" s="236">
        <v>2</v>
      </c>
      <c r="J74" s="568">
        <v>290</v>
      </c>
      <c r="K74" s="232"/>
      <c r="L74" s="232"/>
      <c r="M74" s="236"/>
      <c r="N74" s="232">
        <v>-266</v>
      </c>
      <c r="O74" s="232">
        <v>-290</v>
      </c>
      <c r="P74" s="232">
        <v>0</v>
      </c>
      <c r="Q74" s="232">
        <f t="shared" si="18"/>
        <v>279</v>
      </c>
      <c r="R74" s="232">
        <v>279</v>
      </c>
      <c r="S74" s="232">
        <f t="shared" si="20"/>
        <v>0</v>
      </c>
      <c r="T74" s="534">
        <f t="shared" si="19"/>
        <v>0</v>
      </c>
      <c r="U74" s="564"/>
      <c r="V74" s="565"/>
    </row>
    <row r="75" s="214" customFormat="1" ht="16.9" customHeight="1" spans="1:22">
      <c r="A75" s="335" t="s">
        <v>596</v>
      </c>
      <c r="B75" s="541" t="s">
        <v>597</v>
      </c>
      <c r="C75" s="540">
        <v>4063</v>
      </c>
      <c r="D75" s="232">
        <f t="shared" si="17"/>
        <v>-4049</v>
      </c>
      <c r="E75" s="545"/>
      <c r="F75" s="232"/>
      <c r="G75" s="545"/>
      <c r="H75" s="545"/>
      <c r="I75" s="236"/>
      <c r="J75" s="232">
        <v>-3109</v>
      </c>
      <c r="K75" s="232"/>
      <c r="L75" s="232"/>
      <c r="M75" s="236">
        <v>3123</v>
      </c>
      <c r="N75" s="232">
        <v>-940</v>
      </c>
      <c r="O75" s="232"/>
      <c r="P75" s="232">
        <v>-3123</v>
      </c>
      <c r="Q75" s="232">
        <f t="shared" si="18"/>
        <v>14</v>
      </c>
      <c r="R75" s="232">
        <v>14</v>
      </c>
      <c r="S75" s="232">
        <f t="shared" si="20"/>
        <v>0</v>
      </c>
      <c r="T75" s="534">
        <f t="shared" si="19"/>
        <v>0</v>
      </c>
      <c r="U75" s="564"/>
      <c r="V75" s="565"/>
    </row>
    <row r="76" s="214" customFormat="1" ht="16.9" customHeight="1" spans="1:22">
      <c r="A76" s="335" t="s">
        <v>598</v>
      </c>
      <c r="B76" s="541" t="s">
        <v>599</v>
      </c>
      <c r="C76" s="540">
        <v>0</v>
      </c>
      <c r="D76" s="232">
        <f t="shared" si="17"/>
        <v>0</v>
      </c>
      <c r="E76" s="545"/>
      <c r="F76" s="548">
        <v>0</v>
      </c>
      <c r="G76" s="545"/>
      <c r="H76" s="545"/>
      <c r="I76" s="545"/>
      <c r="J76" s="232"/>
      <c r="K76" s="232"/>
      <c r="L76" s="232"/>
      <c r="M76" s="236"/>
      <c r="N76" s="232"/>
      <c r="O76" s="232"/>
      <c r="P76" s="232">
        <v>0</v>
      </c>
      <c r="Q76" s="232">
        <f t="shared" si="18"/>
        <v>0</v>
      </c>
      <c r="R76" s="232"/>
      <c r="S76" s="232">
        <f t="shared" si="20"/>
        <v>0</v>
      </c>
      <c r="T76" s="534">
        <f t="shared" si="19"/>
        <v>0</v>
      </c>
      <c r="U76" s="564"/>
      <c r="V76" s="565"/>
    </row>
    <row r="77" s="518" customFormat="1" ht="16.9" customHeight="1" spans="1:22">
      <c r="A77" s="535" t="s">
        <v>600</v>
      </c>
      <c r="B77" s="535" t="s">
        <v>601</v>
      </c>
      <c r="C77" s="536">
        <f t="shared" ref="C77:R77" si="21">SUM(C78:C87)</f>
        <v>2227</v>
      </c>
      <c r="D77" s="536">
        <f t="shared" si="21"/>
        <v>1197</v>
      </c>
      <c r="E77" s="536">
        <f t="shared" si="21"/>
        <v>0</v>
      </c>
      <c r="F77" s="536">
        <f t="shared" si="21"/>
        <v>0</v>
      </c>
      <c r="G77" s="536">
        <f t="shared" si="21"/>
        <v>0</v>
      </c>
      <c r="H77" s="536">
        <f t="shared" si="21"/>
        <v>0</v>
      </c>
      <c r="I77" s="536">
        <f t="shared" si="21"/>
        <v>58</v>
      </c>
      <c r="J77" s="536">
        <f t="shared" si="21"/>
        <v>2861</v>
      </c>
      <c r="K77" s="536">
        <f t="shared" si="21"/>
        <v>0</v>
      </c>
      <c r="L77" s="536">
        <f t="shared" si="21"/>
        <v>0</v>
      </c>
      <c r="M77" s="536">
        <f t="shared" si="21"/>
        <v>0</v>
      </c>
      <c r="N77" s="536">
        <f t="shared" si="21"/>
        <v>-1677</v>
      </c>
      <c r="O77" s="536">
        <f t="shared" si="21"/>
        <v>-55</v>
      </c>
      <c r="P77" s="536">
        <f t="shared" si="21"/>
        <v>10</v>
      </c>
      <c r="Q77" s="536">
        <f t="shared" si="21"/>
        <v>3424</v>
      </c>
      <c r="R77" s="536">
        <f t="shared" si="21"/>
        <v>3399</v>
      </c>
      <c r="S77" s="536">
        <f t="shared" si="20"/>
        <v>25</v>
      </c>
      <c r="T77" s="536">
        <f t="shared" si="19"/>
        <v>25</v>
      </c>
      <c r="U77" s="562"/>
      <c r="V77" s="563"/>
    </row>
    <row r="78" s="214" customFormat="1" ht="16.9" customHeight="1" spans="1:22">
      <c r="A78" s="335" t="s">
        <v>602</v>
      </c>
      <c r="B78" s="541" t="s">
        <v>603</v>
      </c>
      <c r="C78" s="540">
        <v>217</v>
      </c>
      <c r="D78" s="232">
        <f t="shared" ref="D78:D87" si="22">SUM(E78:P78)</f>
        <v>80</v>
      </c>
      <c r="E78" s="545"/>
      <c r="F78" s="548"/>
      <c r="G78" s="545"/>
      <c r="H78" s="545"/>
      <c r="I78" s="236">
        <v>1</v>
      </c>
      <c r="J78" s="232">
        <v>79</v>
      </c>
      <c r="K78" s="232"/>
      <c r="L78" s="232"/>
      <c r="M78" s="236"/>
      <c r="N78" s="232"/>
      <c r="O78" s="232"/>
      <c r="P78" s="232"/>
      <c r="Q78" s="232">
        <f t="shared" ref="Q78:Q87" si="23">C78+D78</f>
        <v>297</v>
      </c>
      <c r="R78" s="232">
        <v>297</v>
      </c>
      <c r="S78" s="232">
        <f t="shared" si="20"/>
        <v>0</v>
      </c>
      <c r="T78" s="534">
        <f t="shared" si="19"/>
        <v>0</v>
      </c>
      <c r="U78" s="564"/>
      <c r="V78" s="565"/>
    </row>
    <row r="79" s="214" customFormat="1" ht="16.9" customHeight="1" spans="1:22">
      <c r="A79" s="335" t="s">
        <v>604</v>
      </c>
      <c r="B79" s="541" t="s">
        <v>605</v>
      </c>
      <c r="C79" s="540">
        <v>196</v>
      </c>
      <c r="D79" s="232">
        <f t="shared" si="22"/>
        <v>-2</v>
      </c>
      <c r="E79" s="545"/>
      <c r="F79" s="548"/>
      <c r="G79" s="545"/>
      <c r="H79" s="545"/>
      <c r="I79" s="236">
        <v>9</v>
      </c>
      <c r="J79" s="548">
        <v>-11</v>
      </c>
      <c r="K79" s="232"/>
      <c r="L79" s="232"/>
      <c r="M79" s="236"/>
      <c r="N79" s="232"/>
      <c r="O79" s="232"/>
      <c r="P79" s="232"/>
      <c r="Q79" s="232">
        <f t="shared" si="23"/>
        <v>194</v>
      </c>
      <c r="R79" s="232">
        <v>194</v>
      </c>
      <c r="S79" s="232">
        <f t="shared" si="20"/>
        <v>0</v>
      </c>
      <c r="T79" s="534">
        <f t="shared" si="19"/>
        <v>0</v>
      </c>
      <c r="U79" s="564"/>
      <c r="V79" s="565"/>
    </row>
    <row r="80" s="214" customFormat="1" ht="16.9" customHeight="1" spans="1:22">
      <c r="A80" s="335" t="s">
        <v>606</v>
      </c>
      <c r="B80" s="541" t="s">
        <v>607</v>
      </c>
      <c r="C80" s="540">
        <v>0</v>
      </c>
      <c r="D80" s="232">
        <f t="shared" si="22"/>
        <v>0</v>
      </c>
      <c r="E80" s="545"/>
      <c r="F80" s="548"/>
      <c r="G80" s="545"/>
      <c r="H80" s="545"/>
      <c r="I80" s="236"/>
      <c r="J80" s="232"/>
      <c r="K80" s="232"/>
      <c r="L80" s="232"/>
      <c r="M80" s="236"/>
      <c r="N80" s="232"/>
      <c r="O80" s="232"/>
      <c r="P80" s="232"/>
      <c r="Q80" s="232">
        <f t="shared" si="23"/>
        <v>0</v>
      </c>
      <c r="R80" s="232"/>
      <c r="S80" s="232">
        <f t="shared" si="20"/>
        <v>0</v>
      </c>
      <c r="T80" s="534">
        <f t="shared" si="19"/>
        <v>0</v>
      </c>
      <c r="U80" s="564"/>
      <c r="V80" s="565"/>
    </row>
    <row r="81" s="214" customFormat="1" ht="16.9" customHeight="1" spans="1:22">
      <c r="A81" s="335" t="s">
        <v>608</v>
      </c>
      <c r="B81" s="541" t="s">
        <v>609</v>
      </c>
      <c r="C81" s="540">
        <v>1674</v>
      </c>
      <c r="D81" s="232">
        <f t="shared" si="22"/>
        <v>-441</v>
      </c>
      <c r="E81" s="545"/>
      <c r="F81" s="548"/>
      <c r="G81" s="545"/>
      <c r="H81" s="545"/>
      <c r="I81" s="236">
        <v>37</v>
      </c>
      <c r="J81" s="232">
        <v>1196</v>
      </c>
      <c r="K81" s="232"/>
      <c r="L81" s="232"/>
      <c r="M81" s="236"/>
      <c r="N81" s="232">
        <v>-1674</v>
      </c>
      <c r="O81" s="232"/>
      <c r="P81" s="232"/>
      <c r="Q81" s="232">
        <f t="shared" si="23"/>
        <v>1233</v>
      </c>
      <c r="R81" s="232">
        <v>1233</v>
      </c>
      <c r="S81" s="232">
        <f t="shared" si="20"/>
        <v>0</v>
      </c>
      <c r="T81" s="534">
        <f t="shared" si="19"/>
        <v>0</v>
      </c>
      <c r="U81" s="564"/>
      <c r="V81" s="565"/>
    </row>
    <row r="82" s="214" customFormat="1" ht="16.9" customHeight="1" spans="1:22">
      <c r="A82" s="335" t="s">
        <v>610</v>
      </c>
      <c r="B82" s="541" t="s">
        <v>611</v>
      </c>
      <c r="C82" s="540">
        <v>0</v>
      </c>
      <c r="D82" s="232">
        <f t="shared" si="22"/>
        <v>0</v>
      </c>
      <c r="E82" s="545"/>
      <c r="F82" s="548"/>
      <c r="G82" s="545"/>
      <c r="H82" s="545"/>
      <c r="I82" s="236"/>
      <c r="J82" s="232"/>
      <c r="K82" s="232"/>
      <c r="L82" s="232"/>
      <c r="M82" s="236"/>
      <c r="N82" s="232"/>
      <c r="O82" s="232"/>
      <c r="P82" s="232"/>
      <c r="Q82" s="232">
        <f t="shared" si="23"/>
        <v>0</v>
      </c>
      <c r="R82" s="232"/>
      <c r="S82" s="232">
        <f t="shared" si="20"/>
        <v>0</v>
      </c>
      <c r="T82" s="534">
        <f t="shared" si="19"/>
        <v>0</v>
      </c>
      <c r="U82" s="564"/>
      <c r="V82" s="565"/>
    </row>
    <row r="83" s="214" customFormat="1" ht="16.9" customHeight="1" spans="1:22">
      <c r="A83" s="335" t="s">
        <v>612</v>
      </c>
      <c r="B83" s="541" t="s">
        <v>613</v>
      </c>
      <c r="C83" s="540">
        <v>0</v>
      </c>
      <c r="D83" s="232">
        <f t="shared" si="22"/>
        <v>0</v>
      </c>
      <c r="E83" s="545"/>
      <c r="F83" s="548"/>
      <c r="G83" s="545"/>
      <c r="H83" s="545"/>
      <c r="I83" s="236"/>
      <c r="J83" s="232"/>
      <c r="K83" s="232"/>
      <c r="L83" s="232"/>
      <c r="M83" s="236"/>
      <c r="N83" s="232"/>
      <c r="O83" s="232"/>
      <c r="P83" s="232"/>
      <c r="Q83" s="232">
        <f t="shared" si="23"/>
        <v>0</v>
      </c>
      <c r="R83" s="232"/>
      <c r="S83" s="232">
        <f t="shared" si="20"/>
        <v>0</v>
      </c>
      <c r="T83" s="534">
        <f t="shared" si="19"/>
        <v>0</v>
      </c>
      <c r="U83" s="564"/>
      <c r="V83" s="565"/>
    </row>
    <row r="84" s="214" customFormat="1" ht="16.9" customHeight="1" spans="1:22">
      <c r="A84" s="335" t="s">
        <v>614</v>
      </c>
      <c r="B84" s="541" t="s">
        <v>615</v>
      </c>
      <c r="C84" s="540">
        <v>137</v>
      </c>
      <c r="D84" s="232">
        <f t="shared" si="22"/>
        <v>47</v>
      </c>
      <c r="E84" s="545"/>
      <c r="F84" s="548"/>
      <c r="G84" s="545"/>
      <c r="H84" s="545"/>
      <c r="I84" s="236">
        <v>11</v>
      </c>
      <c r="J84" s="232">
        <v>81</v>
      </c>
      <c r="K84" s="232"/>
      <c r="L84" s="232"/>
      <c r="M84" s="236"/>
      <c r="N84" s="232"/>
      <c r="O84" s="232">
        <v>-55</v>
      </c>
      <c r="P84" s="232">
        <v>10</v>
      </c>
      <c r="Q84" s="232">
        <f t="shared" si="23"/>
        <v>184</v>
      </c>
      <c r="R84" s="232">
        <v>159</v>
      </c>
      <c r="S84" s="232">
        <f t="shared" si="20"/>
        <v>25</v>
      </c>
      <c r="T84" s="534">
        <f t="shared" si="19"/>
        <v>25</v>
      </c>
      <c r="U84" s="564"/>
      <c r="V84" s="565"/>
    </row>
    <row r="85" s="214" customFormat="1" ht="16.9" customHeight="1" spans="1:22">
      <c r="A85" s="335" t="s">
        <v>616</v>
      </c>
      <c r="B85" s="541" t="s">
        <v>617</v>
      </c>
      <c r="C85" s="540">
        <v>0</v>
      </c>
      <c r="D85" s="232">
        <f t="shared" si="22"/>
        <v>0</v>
      </c>
      <c r="E85" s="545"/>
      <c r="F85" s="548"/>
      <c r="G85" s="545"/>
      <c r="H85" s="545"/>
      <c r="I85" s="545"/>
      <c r="J85" s="232"/>
      <c r="K85" s="232"/>
      <c r="L85" s="232"/>
      <c r="M85" s="236"/>
      <c r="N85" s="232"/>
      <c r="O85" s="232"/>
      <c r="P85" s="232"/>
      <c r="Q85" s="232">
        <f t="shared" si="23"/>
        <v>0</v>
      </c>
      <c r="R85" s="232"/>
      <c r="S85" s="232">
        <f t="shared" si="20"/>
        <v>0</v>
      </c>
      <c r="T85" s="534">
        <f t="shared" si="19"/>
        <v>0</v>
      </c>
      <c r="U85" s="564"/>
      <c r="V85" s="565"/>
    </row>
    <row r="86" s="214" customFormat="1" ht="16.9" customHeight="1" spans="1:22">
      <c r="A86" s="335" t="s">
        <v>618</v>
      </c>
      <c r="B86" s="541" t="s">
        <v>619</v>
      </c>
      <c r="C86" s="540">
        <v>0</v>
      </c>
      <c r="D86" s="232">
        <f t="shared" si="22"/>
        <v>2</v>
      </c>
      <c r="E86" s="545"/>
      <c r="F86" s="548"/>
      <c r="G86" s="545"/>
      <c r="H86" s="545"/>
      <c r="I86" s="545"/>
      <c r="J86" s="232">
        <v>2</v>
      </c>
      <c r="K86" s="232"/>
      <c r="L86" s="232"/>
      <c r="M86" s="236"/>
      <c r="N86" s="232"/>
      <c r="O86" s="232"/>
      <c r="P86" s="232"/>
      <c r="Q86" s="232">
        <f t="shared" si="23"/>
        <v>2</v>
      </c>
      <c r="R86" s="232">
        <v>2</v>
      </c>
      <c r="S86" s="232">
        <f t="shared" si="20"/>
        <v>0</v>
      </c>
      <c r="T86" s="534">
        <f t="shared" si="19"/>
        <v>0</v>
      </c>
      <c r="U86" s="564"/>
      <c r="V86" s="565"/>
    </row>
    <row r="87" s="214" customFormat="1" ht="16.9" customHeight="1" spans="1:22">
      <c r="A87" s="335" t="s">
        <v>620</v>
      </c>
      <c r="B87" s="541" t="s">
        <v>621</v>
      </c>
      <c r="C87" s="540">
        <v>3</v>
      </c>
      <c r="D87" s="232">
        <f t="shared" si="22"/>
        <v>1511</v>
      </c>
      <c r="E87" s="545"/>
      <c r="F87" s="548"/>
      <c r="G87" s="545"/>
      <c r="H87" s="545"/>
      <c r="I87" s="545"/>
      <c r="J87" s="232">
        <v>1514</v>
      </c>
      <c r="K87" s="232"/>
      <c r="L87" s="232"/>
      <c r="M87" s="236"/>
      <c r="N87" s="232">
        <v>-3</v>
      </c>
      <c r="O87" s="232"/>
      <c r="P87" s="232"/>
      <c r="Q87" s="232">
        <f t="shared" si="23"/>
        <v>1514</v>
      </c>
      <c r="R87" s="232">
        <v>1514</v>
      </c>
      <c r="S87" s="232">
        <f t="shared" si="20"/>
        <v>0</v>
      </c>
      <c r="T87" s="534">
        <f t="shared" si="19"/>
        <v>0</v>
      </c>
      <c r="U87" s="564"/>
      <c r="V87" s="565"/>
    </row>
    <row r="88" s="518" customFormat="1" ht="16.9" customHeight="1" spans="1:22">
      <c r="A88" s="535" t="s">
        <v>622</v>
      </c>
      <c r="B88" s="535" t="s">
        <v>623</v>
      </c>
      <c r="C88" s="536">
        <f t="shared" ref="C88:R88" si="24">SUM(C89:C94)</f>
        <v>4949</v>
      </c>
      <c r="D88" s="536">
        <f t="shared" si="24"/>
        <v>1126</v>
      </c>
      <c r="E88" s="536">
        <f t="shared" si="24"/>
        <v>16</v>
      </c>
      <c r="F88" s="536">
        <f t="shared" si="24"/>
        <v>1740</v>
      </c>
      <c r="G88" s="536">
        <f t="shared" si="24"/>
        <v>30</v>
      </c>
      <c r="H88" s="536">
        <f t="shared" si="24"/>
        <v>0</v>
      </c>
      <c r="I88" s="536">
        <f t="shared" si="24"/>
        <v>84</v>
      </c>
      <c r="J88" s="536">
        <f t="shared" si="24"/>
        <v>313</v>
      </c>
      <c r="K88" s="536">
        <f t="shared" si="24"/>
        <v>0</v>
      </c>
      <c r="L88" s="536">
        <f t="shared" si="24"/>
        <v>0</v>
      </c>
      <c r="M88" s="536">
        <f t="shared" si="24"/>
        <v>1584</v>
      </c>
      <c r="N88" s="536">
        <f t="shared" si="24"/>
        <v>-28</v>
      </c>
      <c r="O88" s="536">
        <f t="shared" si="24"/>
        <v>-1029</v>
      </c>
      <c r="P88" s="536">
        <f t="shared" si="24"/>
        <v>-1584</v>
      </c>
      <c r="Q88" s="536">
        <f t="shared" si="24"/>
        <v>6075</v>
      </c>
      <c r="R88" s="536">
        <f t="shared" si="24"/>
        <v>5264</v>
      </c>
      <c r="S88" s="536">
        <f t="shared" si="20"/>
        <v>811</v>
      </c>
      <c r="T88" s="536">
        <f t="shared" si="19"/>
        <v>811</v>
      </c>
      <c r="U88" s="562"/>
      <c r="V88" s="563"/>
    </row>
    <row r="89" s="214" customFormat="1" ht="16.9" customHeight="1" spans="1:22">
      <c r="A89" s="335" t="s">
        <v>624</v>
      </c>
      <c r="B89" s="541" t="s">
        <v>625</v>
      </c>
      <c r="C89" s="540">
        <v>4165</v>
      </c>
      <c r="D89" s="232">
        <f t="shared" ref="D89:D94" si="25">SUM(E89:P89)</f>
        <v>909</v>
      </c>
      <c r="E89" s="545">
        <v>10</v>
      </c>
      <c r="F89" s="232">
        <v>1364</v>
      </c>
      <c r="G89" s="545"/>
      <c r="H89" s="545"/>
      <c r="I89" s="236">
        <v>84</v>
      </c>
      <c r="J89" s="568">
        <f>647-192</f>
        <v>455</v>
      </c>
      <c r="K89" s="232"/>
      <c r="L89" s="232"/>
      <c r="M89" s="236">
        <v>1584</v>
      </c>
      <c r="N89" s="232"/>
      <c r="O89" s="232">
        <f>-1132+192</f>
        <v>-940</v>
      </c>
      <c r="P89" s="232">
        <v>-1648</v>
      </c>
      <c r="Q89" s="232">
        <f t="shared" ref="Q89:Q94" si="26">C89+D89</f>
        <v>5074</v>
      </c>
      <c r="R89" s="232">
        <v>4590</v>
      </c>
      <c r="S89" s="232">
        <f t="shared" si="20"/>
        <v>484</v>
      </c>
      <c r="T89" s="534">
        <f t="shared" si="19"/>
        <v>484</v>
      </c>
      <c r="U89" s="564"/>
      <c r="V89" s="565"/>
    </row>
    <row r="90" s="214" customFormat="1" ht="16.9" customHeight="1" spans="1:22">
      <c r="A90" s="335" t="s">
        <v>626</v>
      </c>
      <c r="B90" s="541" t="s">
        <v>627</v>
      </c>
      <c r="C90" s="540">
        <v>183</v>
      </c>
      <c r="D90" s="232">
        <f t="shared" si="25"/>
        <v>208</v>
      </c>
      <c r="E90" s="545"/>
      <c r="F90" s="232">
        <v>341</v>
      </c>
      <c r="G90" s="545"/>
      <c r="H90" s="545"/>
      <c r="I90" s="545"/>
      <c r="J90" s="568">
        <v>-121</v>
      </c>
      <c r="K90" s="232"/>
      <c r="L90" s="232"/>
      <c r="M90" s="236"/>
      <c r="N90" s="232">
        <v>-28</v>
      </c>
      <c r="O90" s="232">
        <f>-155+121</f>
        <v>-34</v>
      </c>
      <c r="P90" s="232">
        <v>50</v>
      </c>
      <c r="Q90" s="232">
        <f t="shared" si="26"/>
        <v>391</v>
      </c>
      <c r="R90" s="232">
        <v>197</v>
      </c>
      <c r="S90" s="232">
        <f t="shared" si="20"/>
        <v>194</v>
      </c>
      <c r="T90" s="534">
        <f t="shared" si="19"/>
        <v>194</v>
      </c>
      <c r="U90" s="564"/>
      <c r="V90" s="565"/>
    </row>
    <row r="91" s="214" customFormat="1" ht="16.9" customHeight="1" spans="1:22">
      <c r="A91" s="335" t="s">
        <v>628</v>
      </c>
      <c r="B91" s="541" t="s">
        <v>629</v>
      </c>
      <c r="C91" s="540">
        <v>24</v>
      </c>
      <c r="D91" s="232">
        <f t="shared" si="25"/>
        <v>35</v>
      </c>
      <c r="E91" s="545">
        <v>6</v>
      </c>
      <c r="F91" s="548"/>
      <c r="G91" s="545">
        <v>30</v>
      </c>
      <c r="H91" s="545"/>
      <c r="I91" s="545"/>
      <c r="J91" s="548">
        <v>-1</v>
      </c>
      <c r="K91" s="232"/>
      <c r="L91" s="232"/>
      <c r="M91" s="236"/>
      <c r="N91" s="232"/>
      <c r="O91" s="232"/>
      <c r="P91" s="232">
        <v>0</v>
      </c>
      <c r="Q91" s="232">
        <f t="shared" si="26"/>
        <v>59</v>
      </c>
      <c r="R91" s="232">
        <v>23</v>
      </c>
      <c r="S91" s="232">
        <f t="shared" si="20"/>
        <v>36</v>
      </c>
      <c r="T91" s="534">
        <f t="shared" si="19"/>
        <v>36</v>
      </c>
      <c r="U91" s="564"/>
      <c r="V91" s="565"/>
    </row>
    <row r="92" s="214" customFormat="1" ht="16.9" customHeight="1" spans="1:22">
      <c r="A92" s="335" t="s">
        <v>630</v>
      </c>
      <c r="B92" s="665" t="s">
        <v>631</v>
      </c>
      <c r="C92" s="540">
        <v>26</v>
      </c>
      <c r="D92" s="232">
        <f t="shared" si="25"/>
        <v>38</v>
      </c>
      <c r="E92" s="545"/>
      <c r="F92" s="548">
        <v>35</v>
      </c>
      <c r="G92" s="545"/>
      <c r="H92" s="545"/>
      <c r="I92" s="545"/>
      <c r="J92" s="232">
        <v>3</v>
      </c>
      <c r="K92" s="232"/>
      <c r="L92" s="232"/>
      <c r="M92" s="236"/>
      <c r="N92" s="232"/>
      <c r="O92" s="232"/>
      <c r="P92" s="232">
        <v>0</v>
      </c>
      <c r="Q92" s="232">
        <f t="shared" si="26"/>
        <v>64</v>
      </c>
      <c r="R92" s="232">
        <v>64</v>
      </c>
      <c r="S92" s="232">
        <f t="shared" si="20"/>
        <v>0</v>
      </c>
      <c r="T92" s="534">
        <f t="shared" si="19"/>
        <v>0</v>
      </c>
      <c r="U92" s="564"/>
      <c r="V92" s="565"/>
    </row>
    <row r="93" s="214" customFormat="1" ht="16.9" customHeight="1" spans="1:22">
      <c r="A93" s="335" t="s">
        <v>632</v>
      </c>
      <c r="B93" s="665" t="s">
        <v>633</v>
      </c>
      <c r="C93" s="540">
        <v>536</v>
      </c>
      <c r="D93" s="232">
        <f t="shared" si="25"/>
        <v>-89</v>
      </c>
      <c r="E93" s="545"/>
      <c r="F93" s="548"/>
      <c r="G93" s="545"/>
      <c r="H93" s="545"/>
      <c r="I93" s="545"/>
      <c r="J93" s="548">
        <v>-42</v>
      </c>
      <c r="K93" s="232"/>
      <c r="L93" s="232"/>
      <c r="M93" s="236"/>
      <c r="N93" s="232"/>
      <c r="O93" s="232">
        <v>-55</v>
      </c>
      <c r="P93" s="232">
        <v>8</v>
      </c>
      <c r="Q93" s="232">
        <f t="shared" si="26"/>
        <v>447</v>
      </c>
      <c r="R93" s="232">
        <v>384</v>
      </c>
      <c r="S93" s="232">
        <f t="shared" si="20"/>
        <v>63</v>
      </c>
      <c r="T93" s="534">
        <f t="shared" si="19"/>
        <v>63</v>
      </c>
      <c r="U93" s="564"/>
      <c r="V93" s="565"/>
    </row>
    <row r="94" s="214" customFormat="1" ht="16.9" customHeight="1" spans="1:22">
      <c r="A94" s="335" t="s">
        <v>634</v>
      </c>
      <c r="B94" s="541" t="s">
        <v>635</v>
      </c>
      <c r="C94" s="540">
        <v>15</v>
      </c>
      <c r="D94" s="232">
        <f t="shared" si="25"/>
        <v>25</v>
      </c>
      <c r="E94" s="545"/>
      <c r="F94" s="548"/>
      <c r="G94" s="545"/>
      <c r="H94" s="545"/>
      <c r="I94" s="545"/>
      <c r="J94" s="232">
        <f>40-21</f>
        <v>19</v>
      </c>
      <c r="K94" s="232"/>
      <c r="L94" s="232"/>
      <c r="M94" s="236"/>
      <c r="N94" s="232"/>
      <c r="O94" s="232">
        <f>-21+21</f>
        <v>0</v>
      </c>
      <c r="P94" s="232">
        <v>6</v>
      </c>
      <c r="Q94" s="232">
        <f t="shared" si="26"/>
        <v>40</v>
      </c>
      <c r="R94" s="232">
        <v>6</v>
      </c>
      <c r="S94" s="232">
        <f t="shared" si="20"/>
        <v>34</v>
      </c>
      <c r="T94" s="534">
        <f t="shared" si="19"/>
        <v>34</v>
      </c>
      <c r="U94" s="564"/>
      <c r="V94" s="565"/>
    </row>
    <row r="95" s="518" customFormat="1" ht="16.9" customHeight="1" spans="1:22">
      <c r="A95" s="535" t="s">
        <v>636</v>
      </c>
      <c r="B95" s="535" t="s">
        <v>637</v>
      </c>
      <c r="C95" s="536">
        <f t="shared" ref="C95:R95" si="27">SUM(C96:C116)</f>
        <v>65144</v>
      </c>
      <c r="D95" s="536">
        <f t="shared" si="27"/>
        <v>5846</v>
      </c>
      <c r="E95" s="536">
        <f t="shared" si="27"/>
        <v>65</v>
      </c>
      <c r="F95" s="536">
        <f t="shared" si="27"/>
        <v>3673</v>
      </c>
      <c r="G95" s="536">
        <f t="shared" si="27"/>
        <v>0</v>
      </c>
      <c r="H95" s="536">
        <f t="shared" si="27"/>
        <v>0</v>
      </c>
      <c r="I95" s="536">
        <f t="shared" si="27"/>
        <v>508</v>
      </c>
      <c r="J95" s="536">
        <f t="shared" si="27"/>
        <v>11254</v>
      </c>
      <c r="K95" s="536">
        <f t="shared" si="27"/>
        <v>0</v>
      </c>
      <c r="L95" s="536">
        <f t="shared" si="27"/>
        <v>0</v>
      </c>
      <c r="M95" s="536">
        <f t="shared" si="27"/>
        <v>0</v>
      </c>
      <c r="N95" s="536">
        <f t="shared" si="27"/>
        <v>0</v>
      </c>
      <c r="O95" s="536">
        <f t="shared" si="27"/>
        <v>-11386</v>
      </c>
      <c r="P95" s="536">
        <f t="shared" si="27"/>
        <v>1732</v>
      </c>
      <c r="Q95" s="536">
        <f t="shared" si="27"/>
        <v>70990</v>
      </c>
      <c r="R95" s="536">
        <f t="shared" si="27"/>
        <v>70163</v>
      </c>
      <c r="S95" s="536">
        <f t="shared" si="20"/>
        <v>827</v>
      </c>
      <c r="T95" s="536">
        <f t="shared" si="19"/>
        <v>827</v>
      </c>
      <c r="U95" s="562"/>
      <c r="V95" s="563"/>
    </row>
    <row r="96" s="214" customFormat="1" ht="17" customHeight="1" spans="1:22">
      <c r="A96" s="335" t="s">
        <v>638</v>
      </c>
      <c r="B96" s="541" t="s">
        <v>639</v>
      </c>
      <c r="C96" s="540">
        <v>4296</v>
      </c>
      <c r="D96" s="232">
        <f t="shared" ref="D96:D116" si="28">SUM(E96:P96)</f>
        <v>-2914</v>
      </c>
      <c r="E96" s="545">
        <v>44</v>
      </c>
      <c r="F96" s="232"/>
      <c r="G96" s="545"/>
      <c r="H96" s="545"/>
      <c r="I96" s="236">
        <v>200</v>
      </c>
      <c r="J96" s="232">
        <f>-3105+3100</f>
        <v>-5</v>
      </c>
      <c r="K96" s="232"/>
      <c r="L96" s="232"/>
      <c r="M96" s="236"/>
      <c r="N96" s="232"/>
      <c r="O96" s="232">
        <f>-53-3100</f>
        <v>-3153</v>
      </c>
      <c r="P96" s="232">
        <v>0</v>
      </c>
      <c r="Q96" s="232">
        <f t="shared" ref="Q96:Q116" si="29">C96+D96</f>
        <v>1382</v>
      </c>
      <c r="R96" s="232">
        <v>1300</v>
      </c>
      <c r="S96" s="232">
        <f t="shared" si="20"/>
        <v>82</v>
      </c>
      <c r="T96" s="534">
        <f t="shared" si="19"/>
        <v>82</v>
      </c>
      <c r="U96" s="564"/>
      <c r="V96" s="565"/>
    </row>
    <row r="97" s="214" customFormat="1" ht="16.9" customHeight="1" spans="1:22">
      <c r="A97" s="335" t="s">
        <v>640</v>
      </c>
      <c r="B97" s="541" t="s">
        <v>641</v>
      </c>
      <c r="C97" s="540">
        <v>626</v>
      </c>
      <c r="D97" s="232">
        <f t="shared" si="28"/>
        <v>205</v>
      </c>
      <c r="E97" s="545"/>
      <c r="F97" s="548"/>
      <c r="G97" s="545"/>
      <c r="H97" s="545"/>
      <c r="I97" s="236">
        <v>125</v>
      </c>
      <c r="J97" s="232">
        <v>97</v>
      </c>
      <c r="K97" s="232"/>
      <c r="L97" s="232"/>
      <c r="M97" s="236"/>
      <c r="N97" s="232"/>
      <c r="O97" s="232">
        <v>-13</v>
      </c>
      <c r="P97" s="232">
        <v>-4</v>
      </c>
      <c r="Q97" s="232">
        <f t="shared" si="29"/>
        <v>831</v>
      </c>
      <c r="R97" s="232">
        <v>811</v>
      </c>
      <c r="S97" s="232">
        <f t="shared" si="20"/>
        <v>20</v>
      </c>
      <c r="T97" s="534">
        <f t="shared" si="19"/>
        <v>20</v>
      </c>
      <c r="U97" s="564"/>
      <c r="V97" s="565"/>
    </row>
    <row r="98" s="214" customFormat="1" ht="17.25" customHeight="1" spans="1:22">
      <c r="A98" s="335" t="s">
        <v>642</v>
      </c>
      <c r="B98" s="541" t="s">
        <v>643</v>
      </c>
      <c r="C98" s="540">
        <v>0</v>
      </c>
      <c r="D98" s="232">
        <f t="shared" si="28"/>
        <v>0</v>
      </c>
      <c r="E98" s="545"/>
      <c r="F98" s="548">
        <v>0</v>
      </c>
      <c r="G98" s="545"/>
      <c r="H98" s="545"/>
      <c r="I98" s="236"/>
      <c r="J98" s="232"/>
      <c r="K98" s="232"/>
      <c r="L98" s="232"/>
      <c r="M98" s="236"/>
      <c r="N98" s="232"/>
      <c r="O98" s="232"/>
      <c r="P98" s="232">
        <v>0</v>
      </c>
      <c r="Q98" s="232">
        <f t="shared" si="29"/>
        <v>0</v>
      </c>
      <c r="R98" s="232"/>
      <c r="S98" s="232">
        <f t="shared" si="20"/>
        <v>0</v>
      </c>
      <c r="T98" s="534">
        <f t="shared" si="19"/>
        <v>0</v>
      </c>
      <c r="U98" s="564"/>
      <c r="V98" s="565"/>
    </row>
    <row r="99" s="214" customFormat="1" ht="17.25" customHeight="1" spans="1:22">
      <c r="A99" s="335" t="s">
        <v>644</v>
      </c>
      <c r="B99" s="541" t="s">
        <v>645</v>
      </c>
      <c r="C99" s="540">
        <v>28797</v>
      </c>
      <c r="D99" s="232">
        <f t="shared" si="28"/>
        <v>-812</v>
      </c>
      <c r="E99" s="545"/>
      <c r="F99" s="548"/>
      <c r="G99" s="545"/>
      <c r="H99" s="545"/>
      <c r="I99" s="236">
        <v>7</v>
      </c>
      <c r="J99" s="548">
        <f>-1367+7598</f>
        <v>6231</v>
      </c>
      <c r="K99" s="232"/>
      <c r="L99" s="232"/>
      <c r="M99" s="236"/>
      <c r="N99" s="232"/>
      <c r="O99" s="232">
        <v>-7598</v>
      </c>
      <c r="P99" s="232">
        <v>548</v>
      </c>
      <c r="Q99" s="232">
        <f t="shared" si="29"/>
        <v>27985</v>
      </c>
      <c r="R99" s="232">
        <v>27985</v>
      </c>
      <c r="S99" s="232">
        <f t="shared" si="20"/>
        <v>0</v>
      </c>
      <c r="T99" s="534">
        <f t="shared" si="19"/>
        <v>0</v>
      </c>
      <c r="U99" s="564"/>
      <c r="V99" s="565"/>
    </row>
    <row r="100" s="214" customFormat="1" ht="17.25" customHeight="1" spans="1:22">
      <c r="A100" s="335" t="s">
        <v>646</v>
      </c>
      <c r="B100" s="541" t="s">
        <v>647</v>
      </c>
      <c r="C100" s="540">
        <v>0</v>
      </c>
      <c r="D100" s="232">
        <f t="shared" si="28"/>
        <v>0</v>
      </c>
      <c r="E100" s="545"/>
      <c r="F100" s="548">
        <v>0</v>
      </c>
      <c r="G100" s="545"/>
      <c r="H100" s="545"/>
      <c r="I100" s="236"/>
      <c r="J100" s="232"/>
      <c r="K100" s="232"/>
      <c r="L100" s="232"/>
      <c r="M100" s="236"/>
      <c r="N100" s="232"/>
      <c r="O100" s="232"/>
      <c r="P100" s="232">
        <v>0</v>
      </c>
      <c r="Q100" s="232">
        <f t="shared" si="29"/>
        <v>0</v>
      </c>
      <c r="R100" s="232"/>
      <c r="S100" s="232">
        <f t="shared" si="20"/>
        <v>0</v>
      </c>
      <c r="T100" s="534">
        <f t="shared" si="19"/>
        <v>0</v>
      </c>
      <c r="U100" s="564"/>
      <c r="V100" s="565"/>
    </row>
    <row r="101" s="214" customFormat="1" ht="17.25" customHeight="1" spans="1:22">
      <c r="A101" s="335" t="s">
        <v>648</v>
      </c>
      <c r="B101" s="541" t="s">
        <v>649</v>
      </c>
      <c r="C101" s="540">
        <v>1744</v>
      </c>
      <c r="D101" s="232">
        <f t="shared" si="28"/>
        <v>1114</v>
      </c>
      <c r="E101" s="545">
        <v>21</v>
      </c>
      <c r="F101" s="548"/>
      <c r="G101" s="545"/>
      <c r="H101" s="545"/>
      <c r="I101" s="236"/>
      <c r="J101" s="232">
        <v>1005</v>
      </c>
      <c r="K101" s="232"/>
      <c r="L101" s="232"/>
      <c r="M101" s="236"/>
      <c r="N101" s="232"/>
      <c r="O101" s="232"/>
      <c r="P101" s="232">
        <v>88</v>
      </c>
      <c r="Q101" s="232">
        <f t="shared" si="29"/>
        <v>2858</v>
      </c>
      <c r="R101" s="232">
        <v>2720</v>
      </c>
      <c r="S101" s="232">
        <f t="shared" si="20"/>
        <v>138</v>
      </c>
      <c r="T101" s="534">
        <f t="shared" si="19"/>
        <v>138</v>
      </c>
      <c r="U101" s="564"/>
      <c r="V101" s="565"/>
    </row>
    <row r="102" s="214" customFormat="1" ht="17.25" customHeight="1" spans="1:22">
      <c r="A102" s="335" t="s">
        <v>650</v>
      </c>
      <c r="B102" s="541" t="s">
        <v>651</v>
      </c>
      <c r="C102" s="540">
        <v>2176</v>
      </c>
      <c r="D102" s="232">
        <f t="shared" si="28"/>
        <v>175</v>
      </c>
      <c r="E102" s="545"/>
      <c r="F102" s="548"/>
      <c r="G102" s="545"/>
      <c r="H102" s="545"/>
      <c r="I102" s="236">
        <v>142</v>
      </c>
      <c r="J102" s="232">
        <v>9</v>
      </c>
      <c r="K102" s="232"/>
      <c r="L102" s="232"/>
      <c r="M102" s="236"/>
      <c r="N102" s="232"/>
      <c r="O102" s="232">
        <v>-7</v>
      </c>
      <c r="P102" s="232">
        <v>31</v>
      </c>
      <c r="Q102" s="232">
        <f t="shared" si="29"/>
        <v>2351</v>
      </c>
      <c r="R102" s="232">
        <v>2283</v>
      </c>
      <c r="S102" s="232">
        <f t="shared" si="20"/>
        <v>68</v>
      </c>
      <c r="T102" s="534">
        <f t="shared" si="19"/>
        <v>68</v>
      </c>
      <c r="U102" s="564"/>
      <c r="V102" s="565"/>
    </row>
    <row r="103" s="214" customFormat="1" ht="16.9" customHeight="1" spans="1:22">
      <c r="A103" s="335" t="s">
        <v>652</v>
      </c>
      <c r="B103" s="541" t="s">
        <v>653</v>
      </c>
      <c r="C103" s="540">
        <v>298</v>
      </c>
      <c r="D103" s="232">
        <f t="shared" si="28"/>
        <v>-8</v>
      </c>
      <c r="E103" s="545"/>
      <c r="F103" s="548"/>
      <c r="G103" s="545"/>
      <c r="H103" s="545"/>
      <c r="I103" s="236"/>
      <c r="J103" s="548">
        <v>-3</v>
      </c>
      <c r="K103" s="232"/>
      <c r="L103" s="232"/>
      <c r="M103" s="236"/>
      <c r="N103" s="232"/>
      <c r="O103" s="232">
        <v>-6</v>
      </c>
      <c r="P103" s="232">
        <v>1</v>
      </c>
      <c r="Q103" s="232">
        <f t="shared" si="29"/>
        <v>290</v>
      </c>
      <c r="R103" s="232">
        <v>233</v>
      </c>
      <c r="S103" s="232">
        <f t="shared" si="20"/>
        <v>57</v>
      </c>
      <c r="T103" s="534">
        <f t="shared" si="19"/>
        <v>57</v>
      </c>
      <c r="U103" s="564"/>
      <c r="V103" s="565"/>
    </row>
    <row r="104" s="214" customFormat="1" ht="16.9" customHeight="1" spans="1:22">
      <c r="A104" s="335" t="s">
        <v>654</v>
      </c>
      <c r="B104" s="541" t="s">
        <v>655</v>
      </c>
      <c r="C104" s="540">
        <v>1092</v>
      </c>
      <c r="D104" s="232">
        <f t="shared" si="28"/>
        <v>237</v>
      </c>
      <c r="E104" s="545"/>
      <c r="F104" s="548"/>
      <c r="G104" s="545"/>
      <c r="H104" s="545"/>
      <c r="I104" s="236"/>
      <c r="J104" s="232">
        <f>24+556</f>
        <v>580</v>
      </c>
      <c r="K104" s="232"/>
      <c r="L104" s="232"/>
      <c r="M104" s="236"/>
      <c r="N104" s="232"/>
      <c r="O104" s="232">
        <v>-556</v>
      </c>
      <c r="P104" s="232">
        <v>213</v>
      </c>
      <c r="Q104" s="232">
        <f t="shared" si="29"/>
        <v>1329</v>
      </c>
      <c r="R104" s="232">
        <v>1329</v>
      </c>
      <c r="S104" s="232">
        <f t="shared" si="20"/>
        <v>0</v>
      </c>
      <c r="T104" s="534">
        <f t="shared" si="19"/>
        <v>0</v>
      </c>
      <c r="U104" s="564"/>
      <c r="V104" s="565"/>
    </row>
    <row r="105" s="214" customFormat="1" ht="16.9" customHeight="1" spans="1:22">
      <c r="A105" s="335" t="s">
        <v>656</v>
      </c>
      <c r="B105" s="541" t="s">
        <v>657</v>
      </c>
      <c r="C105" s="540">
        <v>1853</v>
      </c>
      <c r="D105" s="232">
        <f t="shared" si="28"/>
        <v>-68</v>
      </c>
      <c r="E105" s="545"/>
      <c r="F105" s="548"/>
      <c r="G105" s="545"/>
      <c r="H105" s="545"/>
      <c r="I105" s="236">
        <v>4</v>
      </c>
      <c r="J105" s="232">
        <v>53</v>
      </c>
      <c r="K105" s="232"/>
      <c r="L105" s="232"/>
      <c r="M105" s="236"/>
      <c r="N105" s="232"/>
      <c r="O105" s="232">
        <v>-49</v>
      </c>
      <c r="P105" s="232">
        <v>-76</v>
      </c>
      <c r="Q105" s="232">
        <f t="shared" si="29"/>
        <v>1785</v>
      </c>
      <c r="R105" s="232">
        <v>1650</v>
      </c>
      <c r="S105" s="232">
        <f t="shared" si="20"/>
        <v>135</v>
      </c>
      <c r="T105" s="534">
        <f t="shared" si="19"/>
        <v>135</v>
      </c>
      <c r="U105" s="564"/>
      <c r="V105" s="565"/>
    </row>
    <row r="106" s="214" customFormat="1" ht="16.9" customHeight="1" spans="1:22">
      <c r="A106" s="335" t="s">
        <v>658</v>
      </c>
      <c r="B106" s="541" t="s">
        <v>659</v>
      </c>
      <c r="C106" s="540">
        <v>39</v>
      </c>
      <c r="D106" s="232">
        <f t="shared" si="28"/>
        <v>11</v>
      </c>
      <c r="E106" s="545"/>
      <c r="F106" s="232"/>
      <c r="G106" s="545"/>
      <c r="H106" s="545"/>
      <c r="I106" s="236">
        <v>1</v>
      </c>
      <c r="J106" s="568">
        <v>10</v>
      </c>
      <c r="K106" s="232"/>
      <c r="L106" s="232"/>
      <c r="M106" s="236"/>
      <c r="N106" s="232"/>
      <c r="O106" s="232"/>
      <c r="P106" s="232">
        <v>0</v>
      </c>
      <c r="Q106" s="232">
        <f t="shared" si="29"/>
        <v>50</v>
      </c>
      <c r="R106" s="232">
        <v>50</v>
      </c>
      <c r="S106" s="232">
        <f t="shared" si="20"/>
        <v>0</v>
      </c>
      <c r="T106" s="534">
        <f t="shared" si="19"/>
        <v>0</v>
      </c>
      <c r="U106" s="564"/>
      <c r="V106" s="565"/>
    </row>
    <row r="107" s="214" customFormat="1" ht="16.9" customHeight="1" spans="1:22">
      <c r="A107" s="335" t="s">
        <v>660</v>
      </c>
      <c r="B107" s="665" t="s">
        <v>661</v>
      </c>
      <c r="C107" s="540">
        <v>6884</v>
      </c>
      <c r="D107" s="232">
        <f t="shared" si="28"/>
        <v>4240</v>
      </c>
      <c r="E107" s="545"/>
      <c r="F107" s="548">
        <f>4240-567</f>
        <v>3673</v>
      </c>
      <c r="G107" s="545"/>
      <c r="H107" s="545"/>
      <c r="I107" s="236"/>
      <c r="J107" s="232">
        <v>567</v>
      </c>
      <c r="K107" s="232"/>
      <c r="L107" s="232"/>
      <c r="M107" s="236"/>
      <c r="N107" s="232"/>
      <c r="O107" s="232"/>
      <c r="P107" s="232">
        <v>0</v>
      </c>
      <c r="Q107" s="232">
        <f t="shared" si="29"/>
        <v>11124</v>
      </c>
      <c r="R107" s="232">
        <v>11123</v>
      </c>
      <c r="S107" s="232">
        <f t="shared" si="20"/>
        <v>1</v>
      </c>
      <c r="T107" s="534">
        <f t="shared" si="19"/>
        <v>1</v>
      </c>
      <c r="U107" s="564"/>
      <c r="V107" s="565"/>
    </row>
    <row r="108" s="214" customFormat="1" ht="16.9" customHeight="1" spans="1:22">
      <c r="A108" s="335" t="s">
        <v>662</v>
      </c>
      <c r="B108" s="665" t="s">
        <v>663</v>
      </c>
      <c r="C108" s="540">
        <v>186</v>
      </c>
      <c r="D108" s="232">
        <f t="shared" si="28"/>
        <v>-17</v>
      </c>
      <c r="E108" s="545"/>
      <c r="F108" s="548"/>
      <c r="G108" s="545"/>
      <c r="H108" s="545"/>
      <c r="I108" s="236"/>
      <c r="J108" s="548">
        <v>-17</v>
      </c>
      <c r="K108" s="232"/>
      <c r="L108" s="232"/>
      <c r="M108" s="236"/>
      <c r="N108" s="232"/>
      <c r="O108" s="232"/>
      <c r="P108" s="232">
        <v>0</v>
      </c>
      <c r="Q108" s="232">
        <f t="shared" si="29"/>
        <v>169</v>
      </c>
      <c r="R108" s="232">
        <v>153</v>
      </c>
      <c r="S108" s="232">
        <f t="shared" si="20"/>
        <v>16</v>
      </c>
      <c r="T108" s="534">
        <f t="shared" si="19"/>
        <v>16</v>
      </c>
      <c r="U108" s="564"/>
      <c r="V108" s="565"/>
    </row>
    <row r="109" s="214" customFormat="1" ht="16.9" customHeight="1" spans="1:22">
      <c r="A109" s="335" t="s">
        <v>664</v>
      </c>
      <c r="B109" s="665" t="s">
        <v>665</v>
      </c>
      <c r="C109" s="540">
        <v>1800</v>
      </c>
      <c r="D109" s="232">
        <f t="shared" si="28"/>
        <v>-10</v>
      </c>
      <c r="E109" s="545"/>
      <c r="F109" s="548"/>
      <c r="G109" s="545"/>
      <c r="H109" s="545"/>
      <c r="I109" s="236"/>
      <c r="J109" s="548">
        <v>-10</v>
      </c>
      <c r="K109" s="232"/>
      <c r="L109" s="232"/>
      <c r="M109" s="236"/>
      <c r="N109" s="232"/>
      <c r="O109" s="232"/>
      <c r="P109" s="232">
        <v>0</v>
      </c>
      <c r="Q109" s="232">
        <f t="shared" si="29"/>
        <v>1790</v>
      </c>
      <c r="R109" s="232">
        <v>1790</v>
      </c>
      <c r="S109" s="232">
        <f t="shared" si="20"/>
        <v>0</v>
      </c>
      <c r="T109" s="534">
        <f t="shared" si="19"/>
        <v>0</v>
      </c>
      <c r="U109" s="564"/>
      <c r="V109" s="565"/>
    </row>
    <row r="110" s="214" customFormat="1" ht="16.9" customHeight="1" spans="1:22">
      <c r="A110" s="335" t="s">
        <v>666</v>
      </c>
      <c r="B110" s="665" t="s">
        <v>667</v>
      </c>
      <c r="C110" s="540">
        <v>0</v>
      </c>
      <c r="D110" s="232">
        <f t="shared" si="28"/>
        <v>0</v>
      </c>
      <c r="E110" s="545"/>
      <c r="F110" s="548">
        <v>0</v>
      </c>
      <c r="G110" s="545"/>
      <c r="H110" s="545"/>
      <c r="I110" s="236"/>
      <c r="J110" s="232"/>
      <c r="K110" s="232"/>
      <c r="L110" s="232"/>
      <c r="M110" s="236"/>
      <c r="N110" s="232"/>
      <c r="O110" s="232"/>
      <c r="P110" s="232">
        <v>0</v>
      </c>
      <c r="Q110" s="232">
        <f t="shared" si="29"/>
        <v>0</v>
      </c>
      <c r="R110" s="232"/>
      <c r="S110" s="232">
        <f t="shared" si="20"/>
        <v>0</v>
      </c>
      <c r="T110" s="534">
        <f t="shared" si="19"/>
        <v>0</v>
      </c>
      <c r="U110" s="564"/>
      <c r="V110" s="565"/>
    </row>
    <row r="111" s="214" customFormat="1" ht="16.9" customHeight="1" spans="1:22">
      <c r="A111" s="335" t="s">
        <v>668</v>
      </c>
      <c r="B111" s="541" t="s">
        <v>669</v>
      </c>
      <c r="C111" s="540">
        <v>8</v>
      </c>
      <c r="D111" s="232">
        <f t="shared" si="28"/>
        <v>-1</v>
      </c>
      <c r="E111" s="545"/>
      <c r="F111" s="548"/>
      <c r="G111" s="545"/>
      <c r="H111" s="545"/>
      <c r="I111" s="236"/>
      <c r="J111" s="548">
        <v>-1</v>
      </c>
      <c r="K111" s="232"/>
      <c r="L111" s="232"/>
      <c r="M111" s="236"/>
      <c r="N111" s="232"/>
      <c r="O111" s="232"/>
      <c r="P111" s="232">
        <v>0</v>
      </c>
      <c r="Q111" s="232">
        <f t="shared" si="29"/>
        <v>7</v>
      </c>
      <c r="R111" s="232">
        <v>7</v>
      </c>
      <c r="S111" s="232">
        <f t="shared" si="20"/>
        <v>0</v>
      </c>
      <c r="T111" s="534">
        <f t="shared" si="19"/>
        <v>0</v>
      </c>
      <c r="U111" s="564"/>
      <c r="V111" s="565"/>
    </row>
    <row r="112" s="214" customFormat="1" ht="16.9" customHeight="1" spans="1:22">
      <c r="A112" s="335" t="s">
        <v>670</v>
      </c>
      <c r="B112" s="665" t="s">
        <v>671</v>
      </c>
      <c r="C112" s="540">
        <v>11114</v>
      </c>
      <c r="D112" s="232">
        <f t="shared" si="28"/>
        <v>4454</v>
      </c>
      <c r="E112" s="545"/>
      <c r="F112" s="548"/>
      <c r="G112" s="545"/>
      <c r="H112" s="545"/>
      <c r="I112" s="236"/>
      <c r="J112" s="232">
        <v>4330</v>
      </c>
      <c r="K112" s="232"/>
      <c r="L112" s="232"/>
      <c r="M112" s="236"/>
      <c r="N112" s="232"/>
      <c r="O112" s="232"/>
      <c r="P112" s="232">
        <v>124</v>
      </c>
      <c r="Q112" s="232">
        <f t="shared" si="29"/>
        <v>15568</v>
      </c>
      <c r="R112" s="232">
        <v>15568</v>
      </c>
      <c r="S112" s="232">
        <f t="shared" si="20"/>
        <v>0</v>
      </c>
      <c r="T112" s="534">
        <f t="shared" si="19"/>
        <v>0</v>
      </c>
      <c r="U112" s="564"/>
      <c r="V112" s="565"/>
    </row>
    <row r="113" s="214" customFormat="1" ht="16.9" customHeight="1" spans="1:22">
      <c r="A113" s="335" t="s">
        <v>672</v>
      </c>
      <c r="B113" s="665" t="s">
        <v>673</v>
      </c>
      <c r="C113" s="540">
        <v>0</v>
      </c>
      <c r="D113" s="232">
        <f t="shared" si="28"/>
        <v>0</v>
      </c>
      <c r="E113" s="545"/>
      <c r="F113" s="548">
        <v>0</v>
      </c>
      <c r="G113" s="545"/>
      <c r="H113" s="545"/>
      <c r="I113" s="236"/>
      <c r="J113" s="232"/>
      <c r="K113" s="232"/>
      <c r="L113" s="232"/>
      <c r="M113" s="236"/>
      <c r="N113" s="232"/>
      <c r="O113" s="232"/>
      <c r="P113" s="232">
        <v>0</v>
      </c>
      <c r="Q113" s="232">
        <f t="shared" si="29"/>
        <v>0</v>
      </c>
      <c r="R113" s="232"/>
      <c r="S113" s="232">
        <f t="shared" si="20"/>
        <v>0</v>
      </c>
      <c r="T113" s="534">
        <f t="shared" si="19"/>
        <v>0</v>
      </c>
      <c r="U113" s="564"/>
      <c r="V113" s="565"/>
    </row>
    <row r="114" s="214" customFormat="1" ht="16.9" customHeight="1" spans="1:22">
      <c r="A114" s="335" t="s">
        <v>674</v>
      </c>
      <c r="B114" s="665" t="s">
        <v>675</v>
      </c>
      <c r="C114" s="540">
        <v>288</v>
      </c>
      <c r="D114" s="232">
        <f t="shared" si="28"/>
        <v>-81</v>
      </c>
      <c r="E114" s="545"/>
      <c r="F114" s="548"/>
      <c r="G114" s="545"/>
      <c r="H114" s="545"/>
      <c r="I114" s="236">
        <v>19</v>
      </c>
      <c r="J114" s="232"/>
      <c r="K114" s="232"/>
      <c r="L114" s="232"/>
      <c r="M114" s="236"/>
      <c r="N114" s="232"/>
      <c r="O114" s="232"/>
      <c r="P114" s="232">
        <v>-100</v>
      </c>
      <c r="Q114" s="232">
        <f t="shared" si="29"/>
        <v>207</v>
      </c>
      <c r="R114" s="232">
        <v>207</v>
      </c>
      <c r="S114" s="232">
        <f t="shared" si="20"/>
        <v>0</v>
      </c>
      <c r="T114" s="534">
        <f t="shared" si="19"/>
        <v>0</v>
      </c>
      <c r="U114" s="564"/>
      <c r="V114" s="565"/>
    </row>
    <row r="115" s="214" customFormat="1" ht="16.9" customHeight="1" spans="1:22">
      <c r="A115" s="666" t="s">
        <v>676</v>
      </c>
      <c r="B115" s="665" t="s">
        <v>677</v>
      </c>
      <c r="C115" s="540">
        <v>2745</v>
      </c>
      <c r="D115" s="232">
        <f t="shared" si="28"/>
        <v>-1866</v>
      </c>
      <c r="E115" s="545"/>
      <c r="F115" s="548"/>
      <c r="G115" s="545"/>
      <c r="H115" s="545"/>
      <c r="I115" s="236"/>
      <c r="J115" s="548">
        <v>-2289</v>
      </c>
      <c r="K115" s="232"/>
      <c r="L115" s="232"/>
      <c r="M115" s="236"/>
      <c r="N115" s="232"/>
      <c r="O115" s="232">
        <v>-4</v>
      </c>
      <c r="P115" s="232">
        <v>427</v>
      </c>
      <c r="Q115" s="232">
        <f t="shared" si="29"/>
        <v>879</v>
      </c>
      <c r="R115" s="232">
        <v>784</v>
      </c>
      <c r="S115" s="232">
        <f t="shared" si="20"/>
        <v>95</v>
      </c>
      <c r="T115" s="534">
        <f t="shared" si="19"/>
        <v>95</v>
      </c>
      <c r="U115" s="564"/>
      <c r="V115" s="565"/>
    </row>
    <row r="116" s="214" customFormat="1" ht="16.9" customHeight="1" spans="1:22">
      <c r="A116" s="335" t="s">
        <v>678</v>
      </c>
      <c r="B116" s="541" t="s">
        <v>679</v>
      </c>
      <c r="C116" s="540">
        <v>1198</v>
      </c>
      <c r="D116" s="232">
        <f t="shared" si="28"/>
        <v>1187</v>
      </c>
      <c r="E116" s="545"/>
      <c r="F116" s="232"/>
      <c r="G116" s="545"/>
      <c r="H116" s="545"/>
      <c r="I116" s="236">
        <v>10</v>
      </c>
      <c r="J116" s="568">
        <v>697</v>
      </c>
      <c r="K116" s="232"/>
      <c r="L116" s="232"/>
      <c r="M116" s="236"/>
      <c r="N116" s="232"/>
      <c r="O116" s="232"/>
      <c r="P116" s="232">
        <v>480</v>
      </c>
      <c r="Q116" s="232">
        <f t="shared" si="29"/>
        <v>2385</v>
      </c>
      <c r="R116" s="232">
        <v>2170</v>
      </c>
      <c r="S116" s="232">
        <f t="shared" si="20"/>
        <v>215</v>
      </c>
      <c r="T116" s="534">
        <f t="shared" si="19"/>
        <v>215</v>
      </c>
      <c r="U116" s="564"/>
      <c r="V116" s="565"/>
    </row>
    <row r="117" s="518" customFormat="1" ht="16.9" customHeight="1" spans="1:22">
      <c r="A117" s="535" t="s">
        <v>680</v>
      </c>
      <c r="B117" s="535" t="s">
        <v>681</v>
      </c>
      <c r="C117" s="536">
        <f t="shared" ref="C117:R117" si="30">SUM(C118:C131)</f>
        <v>21790</v>
      </c>
      <c r="D117" s="536">
        <f t="shared" si="30"/>
        <v>9631</v>
      </c>
      <c r="E117" s="536">
        <f t="shared" si="30"/>
        <v>268</v>
      </c>
      <c r="F117" s="536">
        <f t="shared" si="30"/>
        <v>9959</v>
      </c>
      <c r="G117" s="536">
        <f t="shared" si="30"/>
        <v>0</v>
      </c>
      <c r="H117" s="536">
        <f t="shared" si="30"/>
        <v>0</v>
      </c>
      <c r="I117" s="536">
        <f t="shared" si="30"/>
        <v>211</v>
      </c>
      <c r="J117" s="536">
        <f t="shared" si="30"/>
        <v>145</v>
      </c>
      <c r="K117" s="536">
        <f t="shared" si="30"/>
        <v>0</v>
      </c>
      <c r="L117" s="536">
        <f t="shared" si="30"/>
        <v>0</v>
      </c>
      <c r="M117" s="536">
        <f t="shared" si="30"/>
        <v>0</v>
      </c>
      <c r="N117" s="536">
        <f t="shared" si="30"/>
        <v>0</v>
      </c>
      <c r="O117" s="536">
        <f t="shared" si="30"/>
        <v>-960</v>
      </c>
      <c r="P117" s="536">
        <f t="shared" si="30"/>
        <v>8</v>
      </c>
      <c r="Q117" s="536">
        <f t="shared" si="30"/>
        <v>31421</v>
      </c>
      <c r="R117" s="536">
        <f t="shared" si="30"/>
        <v>29027</v>
      </c>
      <c r="S117" s="536">
        <f t="shared" si="20"/>
        <v>2394</v>
      </c>
      <c r="T117" s="536">
        <f t="shared" si="19"/>
        <v>2394</v>
      </c>
      <c r="U117" s="562"/>
      <c r="V117" s="563"/>
    </row>
    <row r="118" s="214" customFormat="1" ht="16.9" customHeight="1" spans="1:22">
      <c r="A118" s="335" t="s">
        <v>682</v>
      </c>
      <c r="B118" s="541" t="s">
        <v>683</v>
      </c>
      <c r="C118" s="540">
        <v>551</v>
      </c>
      <c r="D118" s="232">
        <f t="shared" ref="D118:D131" si="31">SUM(E118:P118)</f>
        <v>-8</v>
      </c>
      <c r="E118" s="545"/>
      <c r="F118" s="232"/>
      <c r="G118" s="545"/>
      <c r="H118" s="545"/>
      <c r="I118" s="236">
        <v>15</v>
      </c>
      <c r="J118" s="232">
        <v>-23</v>
      </c>
      <c r="K118" s="232"/>
      <c r="L118" s="232"/>
      <c r="M118" s="236"/>
      <c r="N118" s="232"/>
      <c r="O118" s="232"/>
      <c r="P118" s="232">
        <v>0</v>
      </c>
      <c r="Q118" s="232">
        <f t="shared" ref="Q118:Q131" si="32">C118+D118</f>
        <v>543</v>
      </c>
      <c r="R118" s="232">
        <v>543</v>
      </c>
      <c r="S118" s="232">
        <f t="shared" si="20"/>
        <v>0</v>
      </c>
      <c r="T118" s="534">
        <f t="shared" si="19"/>
        <v>0</v>
      </c>
      <c r="U118" s="564"/>
      <c r="V118" s="565"/>
    </row>
    <row r="119" s="214" customFormat="1" ht="16.9" customHeight="1" spans="1:22">
      <c r="A119" s="335" t="s">
        <v>684</v>
      </c>
      <c r="B119" s="541" t="s">
        <v>685</v>
      </c>
      <c r="C119" s="540">
        <v>2209</v>
      </c>
      <c r="D119" s="232">
        <f t="shared" si="31"/>
        <v>277</v>
      </c>
      <c r="E119" s="545"/>
      <c r="F119" s="548"/>
      <c r="G119" s="545"/>
      <c r="H119" s="545"/>
      <c r="I119" s="236"/>
      <c r="J119" s="548">
        <v>521</v>
      </c>
      <c r="K119" s="232"/>
      <c r="L119" s="232"/>
      <c r="M119" s="236"/>
      <c r="N119" s="232"/>
      <c r="O119" s="232">
        <v>-243</v>
      </c>
      <c r="P119" s="232">
        <v>-1</v>
      </c>
      <c r="Q119" s="232">
        <f t="shared" si="32"/>
        <v>2486</v>
      </c>
      <c r="R119" s="232">
        <v>2238</v>
      </c>
      <c r="S119" s="232">
        <f t="shared" si="20"/>
        <v>248</v>
      </c>
      <c r="T119" s="534">
        <f t="shared" si="19"/>
        <v>248</v>
      </c>
      <c r="U119" s="564"/>
      <c r="V119" s="565"/>
    </row>
    <row r="120" s="214" customFormat="1" ht="16.9" customHeight="1" spans="1:22">
      <c r="A120" s="335" t="s">
        <v>686</v>
      </c>
      <c r="B120" s="541" t="s">
        <v>687</v>
      </c>
      <c r="C120" s="540">
        <v>4618</v>
      </c>
      <c r="D120" s="232">
        <f t="shared" si="31"/>
        <v>922</v>
      </c>
      <c r="E120" s="545"/>
      <c r="F120" s="548">
        <v>1094</v>
      </c>
      <c r="G120" s="545"/>
      <c r="H120" s="545"/>
      <c r="I120" s="236">
        <v>1</v>
      </c>
      <c r="J120" s="232"/>
      <c r="K120" s="232"/>
      <c r="L120" s="232"/>
      <c r="M120" s="236"/>
      <c r="N120" s="232"/>
      <c r="O120" s="232">
        <v>-173</v>
      </c>
      <c r="P120" s="232">
        <v>0</v>
      </c>
      <c r="Q120" s="232">
        <f t="shared" si="32"/>
        <v>5540</v>
      </c>
      <c r="R120" s="232">
        <v>5246</v>
      </c>
      <c r="S120" s="232">
        <f t="shared" si="20"/>
        <v>294</v>
      </c>
      <c r="T120" s="534">
        <f t="shared" si="19"/>
        <v>294</v>
      </c>
      <c r="U120" s="564"/>
      <c r="V120" s="565"/>
    </row>
    <row r="121" s="214" customFormat="1" ht="16.9" customHeight="1" spans="1:22">
      <c r="A121" s="335" t="s">
        <v>688</v>
      </c>
      <c r="B121" s="541" t="s">
        <v>689</v>
      </c>
      <c r="C121" s="540">
        <v>2528</v>
      </c>
      <c r="D121" s="232">
        <f t="shared" si="31"/>
        <v>3582</v>
      </c>
      <c r="E121" s="545">
        <v>268</v>
      </c>
      <c r="F121" s="548">
        <v>3563</v>
      </c>
      <c r="G121" s="545"/>
      <c r="H121" s="545"/>
      <c r="I121" s="236">
        <v>12</v>
      </c>
      <c r="J121" s="232"/>
      <c r="K121" s="232"/>
      <c r="L121" s="232"/>
      <c r="M121" s="236"/>
      <c r="N121" s="232"/>
      <c r="O121" s="232">
        <v>-286</v>
      </c>
      <c r="P121" s="232">
        <v>25</v>
      </c>
      <c r="Q121" s="232">
        <f t="shared" si="32"/>
        <v>6110</v>
      </c>
      <c r="R121" s="232">
        <v>5921</v>
      </c>
      <c r="S121" s="232">
        <f t="shared" si="20"/>
        <v>189</v>
      </c>
      <c r="T121" s="534">
        <f t="shared" si="19"/>
        <v>189</v>
      </c>
      <c r="U121" s="564"/>
      <c r="V121" s="565"/>
    </row>
    <row r="122" s="214" customFormat="1" ht="16.9" customHeight="1" spans="1:22">
      <c r="A122" s="335" t="s">
        <v>690</v>
      </c>
      <c r="B122" s="541" t="s">
        <v>691</v>
      </c>
      <c r="C122" s="540">
        <v>2707</v>
      </c>
      <c r="D122" s="232">
        <f t="shared" si="31"/>
        <v>-1044</v>
      </c>
      <c r="E122" s="545"/>
      <c r="F122" s="548"/>
      <c r="G122" s="545"/>
      <c r="H122" s="545"/>
      <c r="I122" s="236"/>
      <c r="J122" s="548">
        <v>-911</v>
      </c>
      <c r="K122" s="232"/>
      <c r="L122" s="232"/>
      <c r="M122" s="236"/>
      <c r="N122" s="232"/>
      <c r="O122" s="232">
        <v>-133</v>
      </c>
      <c r="P122" s="232">
        <v>0</v>
      </c>
      <c r="Q122" s="232">
        <f t="shared" si="32"/>
        <v>1663</v>
      </c>
      <c r="R122" s="232">
        <v>1656</v>
      </c>
      <c r="S122" s="232">
        <f t="shared" si="20"/>
        <v>7</v>
      </c>
      <c r="T122" s="534">
        <f t="shared" si="19"/>
        <v>7</v>
      </c>
      <c r="U122" s="564"/>
      <c r="V122" s="565"/>
    </row>
    <row r="123" s="214" customFormat="1" ht="16.9" customHeight="1" spans="1:22">
      <c r="A123" s="335" t="s">
        <v>692</v>
      </c>
      <c r="B123" s="541" t="s">
        <v>693</v>
      </c>
      <c r="C123" s="540">
        <v>3774</v>
      </c>
      <c r="D123" s="232">
        <f t="shared" si="31"/>
        <v>1903</v>
      </c>
      <c r="E123" s="545"/>
      <c r="F123" s="548">
        <f>981-248</f>
        <v>733</v>
      </c>
      <c r="G123" s="545"/>
      <c r="H123" s="545"/>
      <c r="I123" s="236">
        <v>52</v>
      </c>
      <c r="J123" s="232">
        <f>248+870</f>
        <v>1118</v>
      </c>
      <c r="K123" s="232"/>
      <c r="L123" s="232"/>
      <c r="M123" s="236"/>
      <c r="N123" s="232"/>
      <c r="O123" s="232"/>
      <c r="P123" s="232">
        <v>0</v>
      </c>
      <c r="Q123" s="232">
        <f t="shared" si="32"/>
        <v>5677</v>
      </c>
      <c r="R123" s="232">
        <v>5677</v>
      </c>
      <c r="S123" s="232">
        <f t="shared" si="20"/>
        <v>0</v>
      </c>
      <c r="T123" s="534">
        <f t="shared" si="19"/>
        <v>0</v>
      </c>
      <c r="U123" s="564"/>
      <c r="V123" s="565"/>
    </row>
    <row r="124" s="214" customFormat="1" ht="16.9" customHeight="1" spans="1:22">
      <c r="A124" s="335" t="s">
        <v>694</v>
      </c>
      <c r="B124" s="665" t="s">
        <v>695</v>
      </c>
      <c r="C124" s="540">
        <v>50</v>
      </c>
      <c r="D124" s="232">
        <f t="shared" si="31"/>
        <v>1050</v>
      </c>
      <c r="E124" s="545"/>
      <c r="F124" s="548">
        <v>1050</v>
      </c>
      <c r="G124" s="545"/>
      <c r="H124" s="545"/>
      <c r="I124" s="236"/>
      <c r="J124" s="232"/>
      <c r="K124" s="232"/>
      <c r="L124" s="232"/>
      <c r="M124" s="236"/>
      <c r="N124" s="232"/>
      <c r="O124" s="232"/>
      <c r="P124" s="232">
        <v>0</v>
      </c>
      <c r="Q124" s="232">
        <f t="shared" si="32"/>
        <v>1100</v>
      </c>
      <c r="R124" s="232">
        <v>1100</v>
      </c>
      <c r="S124" s="232">
        <f t="shared" si="20"/>
        <v>0</v>
      </c>
      <c r="T124" s="534">
        <f t="shared" si="19"/>
        <v>0</v>
      </c>
      <c r="U124" s="564"/>
      <c r="V124" s="565"/>
    </row>
    <row r="125" s="214" customFormat="1" ht="16.9" customHeight="1" spans="1:22">
      <c r="A125" s="335" t="s">
        <v>696</v>
      </c>
      <c r="B125" s="665" t="s">
        <v>697</v>
      </c>
      <c r="C125" s="540">
        <v>2591</v>
      </c>
      <c r="D125" s="232">
        <f t="shared" si="31"/>
        <v>605</v>
      </c>
      <c r="E125" s="545"/>
      <c r="F125" s="548">
        <v>602</v>
      </c>
      <c r="G125" s="545"/>
      <c r="H125" s="545"/>
      <c r="I125" s="236"/>
      <c r="J125" s="232"/>
      <c r="K125" s="232"/>
      <c r="L125" s="232"/>
      <c r="M125" s="236"/>
      <c r="N125" s="232"/>
      <c r="O125" s="232"/>
      <c r="P125" s="232">
        <v>3</v>
      </c>
      <c r="Q125" s="232">
        <f t="shared" si="32"/>
        <v>3196</v>
      </c>
      <c r="R125" s="232">
        <v>3196</v>
      </c>
      <c r="S125" s="232">
        <f t="shared" si="20"/>
        <v>0</v>
      </c>
      <c r="T125" s="534">
        <f t="shared" si="19"/>
        <v>0</v>
      </c>
      <c r="U125" s="564"/>
      <c r="V125" s="565"/>
    </row>
    <row r="126" s="214" customFormat="1" ht="17.25" customHeight="1" spans="1:22">
      <c r="A126" s="335" t="s">
        <v>698</v>
      </c>
      <c r="B126" s="665" t="s">
        <v>699</v>
      </c>
      <c r="C126" s="540">
        <v>8</v>
      </c>
      <c r="D126" s="232">
        <f t="shared" si="31"/>
        <v>53</v>
      </c>
      <c r="E126" s="545"/>
      <c r="F126" s="232"/>
      <c r="G126" s="545"/>
      <c r="H126" s="545"/>
      <c r="I126" s="236"/>
      <c r="J126" s="232">
        <v>35</v>
      </c>
      <c r="K126" s="232"/>
      <c r="L126" s="232"/>
      <c r="M126" s="236"/>
      <c r="N126" s="232"/>
      <c r="O126" s="232"/>
      <c r="P126" s="232">
        <v>18</v>
      </c>
      <c r="Q126" s="232">
        <f t="shared" si="32"/>
        <v>61</v>
      </c>
      <c r="R126" s="232">
        <v>61</v>
      </c>
      <c r="S126" s="232">
        <f t="shared" si="20"/>
        <v>0</v>
      </c>
      <c r="T126" s="534">
        <f t="shared" si="19"/>
        <v>0</v>
      </c>
      <c r="U126" s="564"/>
      <c r="V126" s="565"/>
    </row>
    <row r="127" s="214" customFormat="1" ht="17.25" customHeight="1" spans="1:22">
      <c r="A127" s="335" t="s">
        <v>700</v>
      </c>
      <c r="B127" s="665" t="s">
        <v>701</v>
      </c>
      <c r="C127" s="540">
        <v>602</v>
      </c>
      <c r="D127" s="232">
        <f t="shared" si="31"/>
        <v>34</v>
      </c>
      <c r="E127" s="545"/>
      <c r="F127" s="548"/>
      <c r="G127" s="545"/>
      <c r="H127" s="545"/>
      <c r="I127" s="236">
        <v>4</v>
      </c>
      <c r="J127" s="548">
        <v>30</v>
      </c>
      <c r="K127" s="232"/>
      <c r="L127" s="232"/>
      <c r="M127" s="236"/>
      <c r="N127" s="232"/>
      <c r="O127" s="232"/>
      <c r="P127" s="232">
        <v>0</v>
      </c>
      <c r="Q127" s="232">
        <f t="shared" si="32"/>
        <v>636</v>
      </c>
      <c r="R127" s="232">
        <v>636</v>
      </c>
      <c r="S127" s="232">
        <f t="shared" si="20"/>
        <v>0</v>
      </c>
      <c r="T127" s="534">
        <f t="shared" si="19"/>
        <v>0</v>
      </c>
      <c r="U127" s="564"/>
      <c r="V127" s="565"/>
    </row>
    <row r="128" s="214" customFormat="1" ht="17.25" customHeight="1" spans="1:22">
      <c r="A128" s="335" t="s">
        <v>702</v>
      </c>
      <c r="B128" s="541" t="s">
        <v>703</v>
      </c>
      <c r="C128" s="540">
        <v>178</v>
      </c>
      <c r="D128" s="232">
        <f t="shared" si="31"/>
        <v>45</v>
      </c>
      <c r="E128" s="545"/>
      <c r="F128" s="548"/>
      <c r="G128" s="545"/>
      <c r="H128" s="545"/>
      <c r="I128" s="236"/>
      <c r="J128" s="548">
        <f>55-10</f>
        <v>45</v>
      </c>
      <c r="K128" s="232"/>
      <c r="L128" s="232"/>
      <c r="M128" s="236"/>
      <c r="N128" s="232"/>
      <c r="O128" s="232">
        <f>-10+10</f>
        <v>0</v>
      </c>
      <c r="P128" s="232">
        <v>0</v>
      </c>
      <c r="Q128" s="232">
        <f t="shared" si="32"/>
        <v>223</v>
      </c>
      <c r="R128" s="232">
        <v>48</v>
      </c>
      <c r="S128" s="232">
        <f t="shared" si="20"/>
        <v>175</v>
      </c>
      <c r="T128" s="534">
        <f t="shared" si="19"/>
        <v>175</v>
      </c>
      <c r="U128" s="564"/>
      <c r="V128" s="565"/>
    </row>
    <row r="129" s="214" customFormat="1" ht="17.25" customHeight="1" spans="1:22">
      <c r="A129" s="335" t="s">
        <v>704</v>
      </c>
      <c r="B129" s="541" t="s">
        <v>705</v>
      </c>
      <c r="C129" s="540">
        <v>0</v>
      </c>
      <c r="D129" s="232">
        <f t="shared" si="31"/>
        <v>0</v>
      </c>
      <c r="E129" s="545"/>
      <c r="F129" s="548">
        <v>0</v>
      </c>
      <c r="G129" s="545"/>
      <c r="H129" s="545"/>
      <c r="I129" s="236"/>
      <c r="J129" s="232"/>
      <c r="K129" s="232"/>
      <c r="L129" s="232"/>
      <c r="M129" s="236"/>
      <c r="N129" s="232"/>
      <c r="O129" s="232"/>
      <c r="P129" s="232"/>
      <c r="Q129" s="232">
        <f t="shared" si="32"/>
        <v>0</v>
      </c>
      <c r="R129" s="232"/>
      <c r="S129" s="232">
        <f t="shared" si="20"/>
        <v>0</v>
      </c>
      <c r="T129" s="534">
        <f t="shared" si="19"/>
        <v>0</v>
      </c>
      <c r="U129" s="564"/>
      <c r="V129" s="565"/>
    </row>
    <row r="130" s="214" customFormat="1" ht="17.25" customHeight="1" spans="1:22">
      <c r="A130" s="335" t="s">
        <v>706</v>
      </c>
      <c r="B130" s="541" t="s">
        <v>707</v>
      </c>
      <c r="C130" s="540">
        <v>0</v>
      </c>
      <c r="D130" s="232">
        <f t="shared" si="31"/>
        <v>2917</v>
      </c>
      <c r="E130" s="545"/>
      <c r="F130" s="548">
        <v>2917</v>
      </c>
      <c r="G130" s="545"/>
      <c r="H130" s="545"/>
      <c r="I130" s="236"/>
      <c r="J130" s="232"/>
      <c r="K130" s="232"/>
      <c r="L130" s="232"/>
      <c r="M130" s="236"/>
      <c r="N130" s="232"/>
      <c r="O130" s="232"/>
      <c r="P130" s="232"/>
      <c r="Q130" s="232">
        <f t="shared" si="32"/>
        <v>2917</v>
      </c>
      <c r="R130" s="232">
        <v>2244</v>
      </c>
      <c r="S130" s="232">
        <f t="shared" si="20"/>
        <v>673</v>
      </c>
      <c r="T130" s="534">
        <f t="shared" si="19"/>
        <v>673</v>
      </c>
      <c r="U130" s="564"/>
      <c r="V130" s="565"/>
    </row>
    <row r="131" s="214" customFormat="1" ht="16.9" customHeight="1" spans="1:22">
      <c r="A131" s="335" t="s">
        <v>708</v>
      </c>
      <c r="B131" s="541" t="s">
        <v>709</v>
      </c>
      <c r="C131" s="540">
        <v>1974</v>
      </c>
      <c r="D131" s="232">
        <f t="shared" si="31"/>
        <v>-705</v>
      </c>
      <c r="E131" s="545"/>
      <c r="F131" s="232"/>
      <c r="G131" s="545"/>
      <c r="H131" s="545"/>
      <c r="I131" s="236">
        <v>127</v>
      </c>
      <c r="J131" s="568">
        <f>45-715</f>
        <v>-670</v>
      </c>
      <c r="K131" s="232"/>
      <c r="L131" s="232"/>
      <c r="M131" s="236"/>
      <c r="N131" s="232"/>
      <c r="O131" s="232">
        <f>-840+715</f>
        <v>-125</v>
      </c>
      <c r="P131" s="232">
        <v>-37</v>
      </c>
      <c r="Q131" s="232">
        <f t="shared" si="32"/>
        <v>1269</v>
      </c>
      <c r="R131" s="232">
        <v>461</v>
      </c>
      <c r="S131" s="232">
        <f t="shared" si="20"/>
        <v>808</v>
      </c>
      <c r="T131" s="534">
        <f t="shared" si="19"/>
        <v>808</v>
      </c>
      <c r="U131" s="564"/>
      <c r="V131" s="565"/>
    </row>
    <row r="132" s="518" customFormat="1" ht="16.9" customHeight="1" spans="1:22">
      <c r="A132" s="535" t="s">
        <v>710</v>
      </c>
      <c r="B132" s="535" t="s">
        <v>711</v>
      </c>
      <c r="C132" s="536">
        <f t="shared" ref="C132:R132" si="33">SUM(C133:C146)</f>
        <v>4252</v>
      </c>
      <c r="D132" s="536">
        <f t="shared" si="33"/>
        <v>-1562</v>
      </c>
      <c r="E132" s="536">
        <f t="shared" si="33"/>
        <v>112</v>
      </c>
      <c r="F132" s="536">
        <f t="shared" si="33"/>
        <v>0</v>
      </c>
      <c r="G132" s="536">
        <f t="shared" si="33"/>
        <v>61</v>
      </c>
      <c r="H132" s="536">
        <f t="shared" si="33"/>
        <v>0</v>
      </c>
      <c r="I132" s="536">
        <f t="shared" si="33"/>
        <v>0</v>
      </c>
      <c r="J132" s="536">
        <f t="shared" si="33"/>
        <v>-1719</v>
      </c>
      <c r="K132" s="536">
        <f t="shared" si="33"/>
        <v>0</v>
      </c>
      <c r="L132" s="536">
        <f t="shared" si="33"/>
        <v>0</v>
      </c>
      <c r="M132" s="536">
        <f t="shared" si="33"/>
        <v>180</v>
      </c>
      <c r="N132" s="536">
        <f t="shared" si="33"/>
        <v>-337</v>
      </c>
      <c r="O132" s="536">
        <f t="shared" si="33"/>
        <v>0</v>
      </c>
      <c r="P132" s="536">
        <f t="shared" si="33"/>
        <v>141</v>
      </c>
      <c r="Q132" s="536">
        <f t="shared" si="33"/>
        <v>2690</v>
      </c>
      <c r="R132" s="536">
        <f t="shared" si="33"/>
        <v>2116</v>
      </c>
      <c r="S132" s="536">
        <f t="shared" si="20"/>
        <v>574</v>
      </c>
      <c r="T132" s="536">
        <f t="shared" si="19"/>
        <v>574</v>
      </c>
      <c r="U132" s="562"/>
      <c r="V132" s="563"/>
    </row>
    <row r="133" s="214" customFormat="1" ht="16.9" customHeight="1" spans="1:22">
      <c r="A133" s="335" t="s">
        <v>712</v>
      </c>
      <c r="B133" s="539" t="s">
        <v>382</v>
      </c>
      <c r="C133" s="540">
        <v>0</v>
      </c>
      <c r="D133" s="232">
        <f t="shared" ref="D133:D146" si="34">SUM(E133:P133)</f>
        <v>0</v>
      </c>
      <c r="E133" s="545"/>
      <c r="F133" s="548">
        <v>0</v>
      </c>
      <c r="G133" s="545"/>
      <c r="H133" s="545"/>
      <c r="I133" s="545"/>
      <c r="J133" s="232"/>
      <c r="K133" s="232"/>
      <c r="L133" s="232"/>
      <c r="M133" s="236"/>
      <c r="N133" s="232"/>
      <c r="O133" s="232"/>
      <c r="P133" s="232">
        <v>0</v>
      </c>
      <c r="Q133" s="232">
        <f t="shared" ref="Q133:Q146" si="35">C133+D133</f>
        <v>0</v>
      </c>
      <c r="R133" s="232"/>
      <c r="S133" s="232">
        <f t="shared" si="20"/>
        <v>0</v>
      </c>
      <c r="T133" s="534">
        <f t="shared" si="19"/>
        <v>0</v>
      </c>
      <c r="U133" s="564"/>
      <c r="V133" s="565"/>
    </row>
    <row r="134" s="214" customFormat="1" ht="16.9" customHeight="1" spans="1:22">
      <c r="A134" s="335" t="s">
        <v>713</v>
      </c>
      <c r="B134" s="539" t="s">
        <v>383</v>
      </c>
      <c r="C134" s="540">
        <v>0</v>
      </c>
      <c r="D134" s="232">
        <f t="shared" si="34"/>
        <v>0</v>
      </c>
      <c r="E134" s="545"/>
      <c r="F134" s="548">
        <v>0</v>
      </c>
      <c r="G134" s="545"/>
      <c r="H134" s="545"/>
      <c r="I134" s="545"/>
      <c r="J134" s="232"/>
      <c r="K134" s="232"/>
      <c r="L134" s="232"/>
      <c r="M134" s="236"/>
      <c r="N134" s="232"/>
      <c r="O134" s="232"/>
      <c r="P134" s="232">
        <v>0</v>
      </c>
      <c r="Q134" s="232">
        <f t="shared" si="35"/>
        <v>0</v>
      </c>
      <c r="R134" s="232"/>
      <c r="S134" s="232">
        <f t="shared" si="20"/>
        <v>0</v>
      </c>
      <c r="T134" s="534">
        <f t="shared" si="19"/>
        <v>0</v>
      </c>
      <c r="U134" s="564"/>
      <c r="V134" s="565"/>
    </row>
    <row r="135" s="214" customFormat="1" ht="16.9" customHeight="1" spans="1:22">
      <c r="A135" s="335" t="s">
        <v>714</v>
      </c>
      <c r="B135" s="539" t="s">
        <v>384</v>
      </c>
      <c r="C135" s="540">
        <v>79</v>
      </c>
      <c r="D135" s="232">
        <f t="shared" si="34"/>
        <v>40</v>
      </c>
      <c r="E135" s="545">
        <v>112</v>
      </c>
      <c r="F135" s="232"/>
      <c r="G135" s="545"/>
      <c r="H135" s="545"/>
      <c r="I135" s="545"/>
      <c r="J135" s="568">
        <v>-371</v>
      </c>
      <c r="K135" s="232"/>
      <c r="L135" s="232"/>
      <c r="M135" s="236"/>
      <c r="N135" s="232"/>
      <c r="O135" s="232">
        <f>-371+371</f>
        <v>0</v>
      </c>
      <c r="P135" s="232">
        <v>299</v>
      </c>
      <c r="Q135" s="232">
        <f t="shared" si="35"/>
        <v>119</v>
      </c>
      <c r="R135" s="232">
        <v>7</v>
      </c>
      <c r="S135" s="232">
        <f t="shared" si="20"/>
        <v>112</v>
      </c>
      <c r="T135" s="534">
        <f t="shared" si="19"/>
        <v>112</v>
      </c>
      <c r="U135" s="564"/>
      <c r="V135" s="565"/>
    </row>
    <row r="136" s="214" customFormat="1" ht="16.9" customHeight="1" spans="1:22">
      <c r="A136" s="335" t="s">
        <v>715</v>
      </c>
      <c r="B136" s="539" t="s">
        <v>385</v>
      </c>
      <c r="C136" s="540">
        <v>2059</v>
      </c>
      <c r="D136" s="232">
        <f t="shared" si="34"/>
        <v>-94</v>
      </c>
      <c r="E136" s="545"/>
      <c r="F136" s="232"/>
      <c r="G136" s="545"/>
      <c r="H136" s="545"/>
      <c r="I136" s="545"/>
      <c r="J136" s="568">
        <f>35-29</f>
        <v>6</v>
      </c>
      <c r="K136" s="232"/>
      <c r="L136" s="232"/>
      <c r="M136" s="236"/>
      <c r="N136" s="232"/>
      <c r="O136" s="232">
        <f>-29+29</f>
        <v>0</v>
      </c>
      <c r="P136" s="232">
        <v>-100</v>
      </c>
      <c r="Q136" s="232">
        <f t="shared" si="35"/>
        <v>1965</v>
      </c>
      <c r="R136" s="232">
        <v>1904</v>
      </c>
      <c r="S136" s="232">
        <f t="shared" si="20"/>
        <v>61</v>
      </c>
      <c r="T136" s="534">
        <f t="shared" ref="T136:T199" si="36">S136</f>
        <v>61</v>
      </c>
      <c r="U136" s="564"/>
      <c r="V136" s="565"/>
    </row>
    <row r="137" s="214" customFormat="1" ht="16.9" customHeight="1" spans="1:22">
      <c r="A137" s="335" t="s">
        <v>716</v>
      </c>
      <c r="B137" s="539" t="s">
        <v>386</v>
      </c>
      <c r="C137" s="540">
        <v>1537</v>
      </c>
      <c r="D137" s="232">
        <f t="shared" si="34"/>
        <v>-1041</v>
      </c>
      <c r="E137" s="545"/>
      <c r="F137" s="548"/>
      <c r="G137" s="545"/>
      <c r="H137" s="545"/>
      <c r="I137" s="545"/>
      <c r="J137" s="548">
        <f>-68-973</f>
        <v>-1041</v>
      </c>
      <c r="K137" s="232"/>
      <c r="L137" s="232"/>
      <c r="M137" s="236"/>
      <c r="N137" s="232"/>
      <c r="O137" s="232">
        <f>-973+973</f>
        <v>0</v>
      </c>
      <c r="P137" s="232">
        <v>0</v>
      </c>
      <c r="Q137" s="232">
        <f t="shared" si="35"/>
        <v>496</v>
      </c>
      <c r="R137" s="232">
        <v>156</v>
      </c>
      <c r="S137" s="232">
        <f t="shared" ref="S137:S200" si="37">Q137-R137</f>
        <v>340</v>
      </c>
      <c r="T137" s="534">
        <f t="shared" si="36"/>
        <v>340</v>
      </c>
      <c r="U137" s="564"/>
      <c r="V137" s="565"/>
    </row>
    <row r="138" s="214" customFormat="1" ht="16.9" customHeight="1" spans="1:22">
      <c r="A138" s="335" t="s">
        <v>717</v>
      </c>
      <c r="B138" s="539" t="s">
        <v>387</v>
      </c>
      <c r="C138" s="540">
        <v>0</v>
      </c>
      <c r="D138" s="232">
        <f t="shared" si="34"/>
        <v>0</v>
      </c>
      <c r="E138" s="545"/>
      <c r="F138" s="548"/>
      <c r="G138" s="545"/>
      <c r="H138" s="545"/>
      <c r="I138" s="545"/>
      <c r="J138" s="232"/>
      <c r="K138" s="232"/>
      <c r="L138" s="232"/>
      <c r="M138" s="236"/>
      <c r="N138" s="232"/>
      <c r="O138" s="232"/>
      <c r="P138" s="232">
        <v>0</v>
      </c>
      <c r="Q138" s="232">
        <f t="shared" si="35"/>
        <v>0</v>
      </c>
      <c r="R138" s="232"/>
      <c r="S138" s="232">
        <f t="shared" si="37"/>
        <v>0</v>
      </c>
      <c r="T138" s="534">
        <f t="shared" si="36"/>
        <v>0</v>
      </c>
      <c r="U138" s="564"/>
      <c r="V138" s="565"/>
    </row>
    <row r="139" s="214" customFormat="1" ht="16.9" customHeight="1" spans="1:22">
      <c r="A139" s="335" t="s">
        <v>718</v>
      </c>
      <c r="B139" s="539" t="s">
        <v>388</v>
      </c>
      <c r="C139" s="540">
        <v>0</v>
      </c>
      <c r="D139" s="232">
        <f t="shared" si="34"/>
        <v>0</v>
      </c>
      <c r="E139" s="545"/>
      <c r="F139" s="548"/>
      <c r="G139" s="545"/>
      <c r="H139" s="545"/>
      <c r="I139" s="545"/>
      <c r="J139" s="232"/>
      <c r="K139" s="232"/>
      <c r="L139" s="232"/>
      <c r="M139" s="236"/>
      <c r="N139" s="232"/>
      <c r="O139" s="232"/>
      <c r="P139" s="232">
        <v>0</v>
      </c>
      <c r="Q139" s="232">
        <f t="shared" si="35"/>
        <v>0</v>
      </c>
      <c r="R139" s="232"/>
      <c r="S139" s="232">
        <f t="shared" si="37"/>
        <v>0</v>
      </c>
      <c r="T139" s="534">
        <f t="shared" si="36"/>
        <v>0</v>
      </c>
      <c r="U139" s="564"/>
      <c r="V139" s="565"/>
    </row>
    <row r="140" s="214" customFormat="1" ht="16.9" customHeight="1" spans="1:22">
      <c r="A140" s="335" t="s">
        <v>719</v>
      </c>
      <c r="B140" s="539" t="s">
        <v>389</v>
      </c>
      <c r="C140" s="540">
        <v>0</v>
      </c>
      <c r="D140" s="232">
        <f t="shared" si="34"/>
        <v>0</v>
      </c>
      <c r="E140" s="545"/>
      <c r="F140" s="548"/>
      <c r="G140" s="545"/>
      <c r="H140" s="545"/>
      <c r="I140" s="545"/>
      <c r="J140" s="232"/>
      <c r="K140" s="232"/>
      <c r="L140" s="232"/>
      <c r="M140" s="236"/>
      <c r="N140" s="232"/>
      <c r="O140" s="232"/>
      <c r="P140" s="232">
        <v>0</v>
      </c>
      <c r="Q140" s="232">
        <f t="shared" si="35"/>
        <v>0</v>
      </c>
      <c r="R140" s="232"/>
      <c r="S140" s="232">
        <f t="shared" si="37"/>
        <v>0</v>
      </c>
      <c r="T140" s="534">
        <f t="shared" si="36"/>
        <v>0</v>
      </c>
      <c r="U140" s="564"/>
      <c r="V140" s="565"/>
    </row>
    <row r="141" s="214" customFormat="1" ht="16.9" customHeight="1" spans="1:22">
      <c r="A141" s="335" t="s">
        <v>720</v>
      </c>
      <c r="B141" s="539" t="s">
        <v>390</v>
      </c>
      <c r="C141" s="540">
        <v>0</v>
      </c>
      <c r="D141" s="232">
        <f t="shared" si="34"/>
        <v>61</v>
      </c>
      <c r="E141" s="545"/>
      <c r="F141" s="232"/>
      <c r="G141" s="545">
        <v>61</v>
      </c>
      <c r="H141" s="545"/>
      <c r="I141" s="545"/>
      <c r="J141" s="568">
        <v>-122</v>
      </c>
      <c r="K141" s="232"/>
      <c r="L141" s="232"/>
      <c r="M141" s="236"/>
      <c r="N141" s="232"/>
      <c r="O141" s="232">
        <f>-122+122</f>
        <v>0</v>
      </c>
      <c r="P141" s="232">
        <v>122</v>
      </c>
      <c r="Q141" s="232">
        <f t="shared" si="35"/>
        <v>61</v>
      </c>
      <c r="R141" s="232"/>
      <c r="S141" s="232">
        <f t="shared" si="37"/>
        <v>61</v>
      </c>
      <c r="T141" s="534">
        <f t="shared" si="36"/>
        <v>61</v>
      </c>
      <c r="U141" s="564"/>
      <c r="V141" s="565"/>
    </row>
    <row r="142" s="214" customFormat="1" ht="16.9" customHeight="1" spans="1:22">
      <c r="A142" s="335" t="s">
        <v>721</v>
      </c>
      <c r="B142" s="539" t="s">
        <v>391</v>
      </c>
      <c r="C142" s="540">
        <v>100</v>
      </c>
      <c r="D142" s="232">
        <f t="shared" si="34"/>
        <v>-69</v>
      </c>
      <c r="E142" s="545"/>
      <c r="F142" s="232"/>
      <c r="G142" s="545"/>
      <c r="H142" s="545"/>
      <c r="I142" s="545"/>
      <c r="J142" s="568">
        <v>31</v>
      </c>
      <c r="K142" s="232"/>
      <c r="L142" s="232"/>
      <c r="M142" s="236"/>
      <c r="N142" s="232">
        <v>-100</v>
      </c>
      <c r="O142" s="232"/>
      <c r="P142" s="232">
        <v>0</v>
      </c>
      <c r="Q142" s="232">
        <f t="shared" si="35"/>
        <v>31</v>
      </c>
      <c r="R142" s="232">
        <v>31</v>
      </c>
      <c r="S142" s="232">
        <f t="shared" si="37"/>
        <v>0</v>
      </c>
      <c r="T142" s="534">
        <f t="shared" si="36"/>
        <v>0</v>
      </c>
      <c r="U142" s="564"/>
      <c r="V142" s="565"/>
    </row>
    <row r="143" s="214" customFormat="1" ht="16.9" customHeight="1" spans="1:22">
      <c r="A143" s="335" t="s">
        <v>722</v>
      </c>
      <c r="B143" s="539" t="s">
        <v>392</v>
      </c>
      <c r="C143" s="540">
        <v>240</v>
      </c>
      <c r="D143" s="232">
        <f t="shared" si="34"/>
        <v>-222</v>
      </c>
      <c r="E143" s="545"/>
      <c r="F143" s="232"/>
      <c r="G143" s="545"/>
      <c r="H143" s="545"/>
      <c r="I143" s="545"/>
      <c r="J143" s="232">
        <f>-180-42</f>
        <v>-222</v>
      </c>
      <c r="K143" s="232"/>
      <c r="L143" s="232"/>
      <c r="M143" s="236">
        <v>180</v>
      </c>
      <c r="N143" s="232"/>
      <c r="O143" s="232">
        <f>-42+42</f>
        <v>0</v>
      </c>
      <c r="P143" s="232">
        <v>-180</v>
      </c>
      <c r="Q143" s="232">
        <f t="shared" si="35"/>
        <v>18</v>
      </c>
      <c r="R143" s="232">
        <v>18</v>
      </c>
      <c r="S143" s="232">
        <f t="shared" si="37"/>
        <v>0</v>
      </c>
      <c r="T143" s="534">
        <f t="shared" si="36"/>
        <v>0</v>
      </c>
      <c r="U143" s="564"/>
      <c r="V143" s="565"/>
    </row>
    <row r="144" s="214" customFormat="1" ht="16.9" customHeight="1" spans="1:22">
      <c r="A144" s="335" t="s">
        <v>723</v>
      </c>
      <c r="B144" s="539" t="s">
        <v>393</v>
      </c>
      <c r="C144" s="540">
        <v>0</v>
      </c>
      <c r="D144" s="232">
        <f t="shared" si="34"/>
        <v>0</v>
      </c>
      <c r="E144" s="545"/>
      <c r="F144" s="548">
        <v>0</v>
      </c>
      <c r="G144" s="545"/>
      <c r="H144" s="545"/>
      <c r="I144" s="545"/>
      <c r="J144" s="232"/>
      <c r="K144" s="232"/>
      <c r="L144" s="232"/>
      <c r="M144" s="236"/>
      <c r="N144" s="232"/>
      <c r="O144" s="232"/>
      <c r="P144" s="232">
        <v>0</v>
      </c>
      <c r="Q144" s="232">
        <f t="shared" si="35"/>
        <v>0</v>
      </c>
      <c r="R144" s="232"/>
      <c r="S144" s="232">
        <f t="shared" si="37"/>
        <v>0</v>
      </c>
      <c r="T144" s="534">
        <f t="shared" si="36"/>
        <v>0</v>
      </c>
      <c r="U144" s="564"/>
      <c r="V144" s="565"/>
    </row>
    <row r="145" s="214" customFormat="1" ht="16.9" customHeight="1" spans="1:22">
      <c r="A145" s="335" t="s">
        <v>724</v>
      </c>
      <c r="B145" s="539" t="s">
        <v>394</v>
      </c>
      <c r="C145" s="540">
        <v>237</v>
      </c>
      <c r="D145" s="232">
        <f t="shared" si="34"/>
        <v>-237</v>
      </c>
      <c r="E145" s="545"/>
      <c r="F145" s="548"/>
      <c r="G145" s="545"/>
      <c r="H145" s="545"/>
      <c r="I145" s="545"/>
      <c r="J145" s="232"/>
      <c r="K145" s="232"/>
      <c r="L145" s="232"/>
      <c r="M145" s="236"/>
      <c r="N145" s="232">
        <v>-237</v>
      </c>
      <c r="O145" s="232"/>
      <c r="P145" s="232">
        <v>0</v>
      </c>
      <c r="Q145" s="232">
        <f t="shared" si="35"/>
        <v>0</v>
      </c>
      <c r="R145" s="232"/>
      <c r="S145" s="232">
        <f t="shared" si="37"/>
        <v>0</v>
      </c>
      <c r="T145" s="534">
        <f t="shared" si="36"/>
        <v>0</v>
      </c>
      <c r="U145" s="564"/>
      <c r="V145" s="565"/>
    </row>
    <row r="146" s="214" customFormat="1" ht="16.9" customHeight="1" spans="1:22">
      <c r="A146" s="335" t="s">
        <v>725</v>
      </c>
      <c r="B146" s="539" t="s">
        <v>395</v>
      </c>
      <c r="C146" s="540">
        <v>0</v>
      </c>
      <c r="D146" s="232">
        <f t="shared" si="34"/>
        <v>0</v>
      </c>
      <c r="E146" s="545"/>
      <c r="F146" s="548">
        <v>0</v>
      </c>
      <c r="G146" s="545"/>
      <c r="H146" s="545"/>
      <c r="I146" s="545"/>
      <c r="J146" s="232"/>
      <c r="K146" s="232"/>
      <c r="L146" s="232"/>
      <c r="M146" s="236"/>
      <c r="N146" s="232"/>
      <c r="O146" s="232"/>
      <c r="P146" s="232">
        <v>0</v>
      </c>
      <c r="Q146" s="232">
        <f t="shared" si="35"/>
        <v>0</v>
      </c>
      <c r="R146" s="232"/>
      <c r="S146" s="232">
        <f t="shared" si="37"/>
        <v>0</v>
      </c>
      <c r="T146" s="534">
        <f t="shared" si="36"/>
        <v>0</v>
      </c>
      <c r="U146" s="564"/>
      <c r="V146" s="565"/>
    </row>
    <row r="147" s="518" customFormat="1" ht="16.9" customHeight="1" spans="1:22">
      <c r="A147" s="535" t="s">
        <v>726</v>
      </c>
      <c r="B147" s="535" t="s">
        <v>727</v>
      </c>
      <c r="C147" s="536">
        <f t="shared" ref="C147:R147" si="38">SUM(C148:C153)</f>
        <v>5427</v>
      </c>
      <c r="D147" s="536">
        <f t="shared" si="38"/>
        <v>731</v>
      </c>
      <c r="E147" s="536">
        <f t="shared" si="38"/>
        <v>192</v>
      </c>
      <c r="F147" s="536">
        <f t="shared" si="38"/>
        <v>2228</v>
      </c>
      <c r="G147" s="536">
        <f t="shared" si="38"/>
        <v>100</v>
      </c>
      <c r="H147" s="536">
        <f t="shared" si="38"/>
        <v>0</v>
      </c>
      <c r="I147" s="536">
        <f t="shared" si="38"/>
        <v>154</v>
      </c>
      <c r="J147" s="536">
        <f t="shared" si="38"/>
        <v>-1296</v>
      </c>
      <c r="K147" s="536">
        <f t="shared" si="38"/>
        <v>0</v>
      </c>
      <c r="L147" s="536">
        <f t="shared" si="38"/>
        <v>0</v>
      </c>
      <c r="M147" s="536">
        <f t="shared" si="38"/>
        <v>0</v>
      </c>
      <c r="N147" s="536">
        <f t="shared" si="38"/>
        <v>-204</v>
      </c>
      <c r="O147" s="536">
        <f t="shared" si="38"/>
        <v>-75</v>
      </c>
      <c r="P147" s="536">
        <f t="shared" si="38"/>
        <v>-368</v>
      </c>
      <c r="Q147" s="536">
        <f t="shared" si="38"/>
        <v>6158</v>
      </c>
      <c r="R147" s="536">
        <f t="shared" si="38"/>
        <v>4950</v>
      </c>
      <c r="S147" s="536">
        <f t="shared" si="37"/>
        <v>1208</v>
      </c>
      <c r="T147" s="536">
        <f t="shared" si="36"/>
        <v>1208</v>
      </c>
      <c r="U147" s="562"/>
      <c r="V147" s="563"/>
    </row>
    <row r="148" s="214" customFormat="1" ht="16.9" customHeight="1" spans="1:22">
      <c r="A148" s="335" t="s">
        <v>728</v>
      </c>
      <c r="B148" s="541" t="s">
        <v>729</v>
      </c>
      <c r="C148" s="540">
        <v>2180</v>
      </c>
      <c r="D148" s="232">
        <f t="shared" ref="D148:D153" si="39">SUM(E148:P148)</f>
        <v>193</v>
      </c>
      <c r="E148" s="545"/>
      <c r="F148" s="548">
        <v>139</v>
      </c>
      <c r="G148" s="545"/>
      <c r="H148" s="545"/>
      <c r="I148" s="236">
        <v>54</v>
      </c>
      <c r="J148" s="232"/>
      <c r="K148" s="232"/>
      <c r="L148" s="232"/>
      <c r="M148" s="236"/>
      <c r="N148" s="232"/>
      <c r="O148" s="232"/>
      <c r="P148" s="232">
        <v>0</v>
      </c>
      <c r="Q148" s="232">
        <f t="shared" ref="Q148:Q153" si="40">C148+D148</f>
        <v>2373</v>
      </c>
      <c r="R148" s="232">
        <v>2373</v>
      </c>
      <c r="S148" s="232">
        <f t="shared" si="37"/>
        <v>0</v>
      </c>
      <c r="T148" s="534">
        <f t="shared" si="36"/>
        <v>0</v>
      </c>
      <c r="U148" s="564"/>
      <c r="V148" s="565"/>
    </row>
    <row r="149" s="214" customFormat="1" ht="16.9" customHeight="1" spans="1:22">
      <c r="A149" s="335" t="s">
        <v>730</v>
      </c>
      <c r="B149" s="541" t="s">
        <v>731</v>
      </c>
      <c r="C149" s="540">
        <v>0</v>
      </c>
      <c r="D149" s="232">
        <f t="shared" si="39"/>
        <v>0</v>
      </c>
      <c r="E149" s="545"/>
      <c r="F149" s="548">
        <v>0</v>
      </c>
      <c r="G149" s="545"/>
      <c r="H149" s="545"/>
      <c r="I149" s="236"/>
      <c r="J149" s="232"/>
      <c r="K149" s="232"/>
      <c r="L149" s="232"/>
      <c r="M149" s="236"/>
      <c r="N149" s="232"/>
      <c r="O149" s="232"/>
      <c r="P149" s="232">
        <v>0</v>
      </c>
      <c r="Q149" s="232">
        <f t="shared" si="40"/>
        <v>0</v>
      </c>
      <c r="R149" s="232"/>
      <c r="S149" s="232">
        <f t="shared" si="37"/>
        <v>0</v>
      </c>
      <c r="T149" s="534">
        <f t="shared" si="36"/>
        <v>0</v>
      </c>
      <c r="U149" s="564"/>
      <c r="V149" s="565"/>
    </row>
    <row r="150" s="214" customFormat="1" ht="16.9" customHeight="1" spans="1:22">
      <c r="A150" s="335" t="s">
        <v>732</v>
      </c>
      <c r="B150" s="541" t="s">
        <v>733</v>
      </c>
      <c r="C150" s="540">
        <v>3011</v>
      </c>
      <c r="D150" s="232">
        <f t="shared" si="39"/>
        <v>-1350</v>
      </c>
      <c r="E150" s="545"/>
      <c r="F150" s="232">
        <v>410</v>
      </c>
      <c r="G150" s="545"/>
      <c r="H150" s="545"/>
      <c r="I150" s="236">
        <v>30</v>
      </c>
      <c r="J150" s="568">
        <v>-1296</v>
      </c>
      <c r="K150" s="232"/>
      <c r="L150" s="232"/>
      <c r="M150" s="236"/>
      <c r="N150" s="232"/>
      <c r="O150" s="232">
        <f>-702-669+1296</f>
        <v>-75</v>
      </c>
      <c r="P150" s="232">
        <v>-419</v>
      </c>
      <c r="Q150" s="232">
        <f t="shared" si="40"/>
        <v>1661</v>
      </c>
      <c r="R150" s="232">
        <v>728</v>
      </c>
      <c r="S150" s="232">
        <f t="shared" si="37"/>
        <v>933</v>
      </c>
      <c r="T150" s="534">
        <f t="shared" si="36"/>
        <v>933</v>
      </c>
      <c r="U150" s="564"/>
      <c r="V150" s="565"/>
    </row>
    <row r="151" s="214" customFormat="1" ht="16.9" customHeight="1" spans="1:22">
      <c r="A151" s="335" t="s">
        <v>734</v>
      </c>
      <c r="B151" s="541" t="s">
        <v>735</v>
      </c>
      <c r="C151" s="540">
        <v>32</v>
      </c>
      <c r="D151" s="232">
        <f t="shared" si="39"/>
        <v>549</v>
      </c>
      <c r="E151" s="545"/>
      <c r="F151" s="548">
        <v>479</v>
      </c>
      <c r="G151" s="545"/>
      <c r="H151" s="545"/>
      <c r="I151" s="236">
        <v>70</v>
      </c>
      <c r="J151" s="232"/>
      <c r="K151" s="232"/>
      <c r="L151" s="232"/>
      <c r="M151" s="236"/>
      <c r="N151" s="232"/>
      <c r="O151" s="232"/>
      <c r="P151" s="232">
        <v>0</v>
      </c>
      <c r="Q151" s="232">
        <f t="shared" si="40"/>
        <v>581</v>
      </c>
      <c r="R151" s="232">
        <v>526</v>
      </c>
      <c r="S151" s="232">
        <f t="shared" si="37"/>
        <v>55</v>
      </c>
      <c r="T151" s="534">
        <f t="shared" si="36"/>
        <v>55</v>
      </c>
      <c r="U151" s="564"/>
      <c r="V151" s="565"/>
    </row>
    <row r="152" s="214" customFormat="1" ht="16.9" customHeight="1" spans="1:22">
      <c r="A152" s="335" t="s">
        <v>736</v>
      </c>
      <c r="B152" s="541" t="s">
        <v>737</v>
      </c>
      <c r="C152" s="540">
        <v>0</v>
      </c>
      <c r="D152" s="232">
        <f t="shared" si="39"/>
        <v>0</v>
      </c>
      <c r="E152" s="545"/>
      <c r="F152" s="548">
        <v>0</v>
      </c>
      <c r="G152" s="545"/>
      <c r="H152" s="545"/>
      <c r="I152" s="545"/>
      <c r="J152" s="232"/>
      <c r="K152" s="232"/>
      <c r="L152" s="232"/>
      <c r="M152" s="236"/>
      <c r="N152" s="232"/>
      <c r="O152" s="232"/>
      <c r="P152" s="232">
        <v>0</v>
      </c>
      <c r="Q152" s="232">
        <f t="shared" si="40"/>
        <v>0</v>
      </c>
      <c r="R152" s="232"/>
      <c r="S152" s="232">
        <f t="shared" si="37"/>
        <v>0</v>
      </c>
      <c r="T152" s="534">
        <f t="shared" si="36"/>
        <v>0</v>
      </c>
      <c r="U152" s="564"/>
      <c r="V152" s="565"/>
    </row>
    <row r="153" s="214" customFormat="1" ht="16.9" customHeight="1" spans="1:22">
      <c r="A153" s="335" t="s">
        <v>738</v>
      </c>
      <c r="B153" s="541" t="s">
        <v>739</v>
      </c>
      <c r="C153" s="540">
        <v>204</v>
      </c>
      <c r="D153" s="232">
        <f t="shared" si="39"/>
        <v>1339</v>
      </c>
      <c r="E153" s="545">
        <v>192</v>
      </c>
      <c r="F153" s="232">
        <v>1200</v>
      </c>
      <c r="G153" s="545">
        <v>100</v>
      </c>
      <c r="H153" s="545"/>
      <c r="I153" s="545"/>
      <c r="J153" s="568"/>
      <c r="K153" s="232"/>
      <c r="L153" s="232"/>
      <c r="M153" s="236"/>
      <c r="N153" s="232">
        <v>-204</v>
      </c>
      <c r="O153" s="232"/>
      <c r="P153" s="232">
        <v>51</v>
      </c>
      <c r="Q153" s="232">
        <f t="shared" si="40"/>
        <v>1543</v>
      </c>
      <c r="R153" s="232">
        <v>1323</v>
      </c>
      <c r="S153" s="232">
        <f t="shared" si="37"/>
        <v>220</v>
      </c>
      <c r="T153" s="534">
        <f t="shared" si="36"/>
        <v>220</v>
      </c>
      <c r="U153" s="564"/>
      <c r="V153" s="565"/>
    </row>
    <row r="154" s="518" customFormat="1" ht="16.9" customHeight="1" spans="1:22">
      <c r="A154" s="535" t="s">
        <v>740</v>
      </c>
      <c r="B154" s="535" t="s">
        <v>741</v>
      </c>
      <c r="C154" s="536">
        <f t="shared" ref="C154:R154" si="41">SUM(C155:C162)</f>
        <v>109607</v>
      </c>
      <c r="D154" s="536">
        <f t="shared" si="41"/>
        <v>-219</v>
      </c>
      <c r="E154" s="536">
        <f t="shared" si="41"/>
        <v>6253</v>
      </c>
      <c r="F154" s="536">
        <f t="shared" si="41"/>
        <v>15285</v>
      </c>
      <c r="G154" s="536">
        <f t="shared" si="41"/>
        <v>35</v>
      </c>
      <c r="H154" s="536">
        <f t="shared" si="41"/>
        <v>0</v>
      </c>
      <c r="I154" s="536">
        <f t="shared" si="41"/>
        <v>524</v>
      </c>
      <c r="J154" s="536">
        <f t="shared" si="41"/>
        <v>-12104</v>
      </c>
      <c r="K154" s="536">
        <f t="shared" si="41"/>
        <v>0</v>
      </c>
      <c r="L154" s="536">
        <f t="shared" si="41"/>
        <v>1597</v>
      </c>
      <c r="M154" s="536">
        <f t="shared" si="41"/>
        <v>19463</v>
      </c>
      <c r="N154" s="536">
        <f t="shared" si="41"/>
        <v>-364</v>
      </c>
      <c r="O154" s="536">
        <f t="shared" si="41"/>
        <v>-9155</v>
      </c>
      <c r="P154" s="536">
        <f t="shared" si="41"/>
        <v>-21753</v>
      </c>
      <c r="Q154" s="536">
        <f t="shared" si="41"/>
        <v>109388</v>
      </c>
      <c r="R154" s="536">
        <f t="shared" si="41"/>
        <v>95785</v>
      </c>
      <c r="S154" s="536">
        <f t="shared" si="37"/>
        <v>13603</v>
      </c>
      <c r="T154" s="536">
        <f t="shared" si="36"/>
        <v>13603</v>
      </c>
      <c r="U154" s="562"/>
      <c r="V154" s="563"/>
    </row>
    <row r="155" s="214" customFormat="1" ht="16.9" customHeight="1" spans="1:22">
      <c r="A155" s="570" t="s">
        <v>742</v>
      </c>
      <c r="B155" s="541" t="s">
        <v>743</v>
      </c>
      <c r="C155" s="540">
        <v>16907</v>
      </c>
      <c r="D155" s="232">
        <f t="shared" ref="D155:D162" si="42">SUM(E155:P155)</f>
        <v>-1638</v>
      </c>
      <c r="E155" s="545"/>
      <c r="F155" s="232"/>
      <c r="G155" s="545"/>
      <c r="H155" s="545"/>
      <c r="I155" s="236">
        <v>139</v>
      </c>
      <c r="J155" s="568">
        <f>4422-1815</f>
        <v>2607</v>
      </c>
      <c r="K155" s="232"/>
      <c r="L155" s="232"/>
      <c r="M155" s="236">
        <v>2764</v>
      </c>
      <c r="N155" s="232"/>
      <c r="O155" s="232">
        <f>-3699-2500+1815</f>
        <v>-4384</v>
      </c>
      <c r="P155" s="232">
        <v>-2764</v>
      </c>
      <c r="Q155" s="232">
        <f t="shared" ref="Q155:Q162" si="43">C155+D155</f>
        <v>15269</v>
      </c>
      <c r="R155" s="232">
        <v>13962</v>
      </c>
      <c r="S155" s="232">
        <f t="shared" si="37"/>
        <v>1307</v>
      </c>
      <c r="T155" s="534">
        <f t="shared" si="36"/>
        <v>1307</v>
      </c>
      <c r="U155" s="564"/>
      <c r="V155" s="565"/>
    </row>
    <row r="156" s="214" customFormat="1" ht="16.9" customHeight="1" spans="1:22">
      <c r="A156" s="335" t="s">
        <v>744</v>
      </c>
      <c r="B156" s="571" t="s">
        <v>745</v>
      </c>
      <c r="C156" s="540">
        <v>12897</v>
      </c>
      <c r="D156" s="232">
        <f t="shared" si="42"/>
        <v>413</v>
      </c>
      <c r="E156" s="545">
        <v>925</v>
      </c>
      <c r="F156" s="232"/>
      <c r="G156" s="545"/>
      <c r="H156" s="545"/>
      <c r="I156" s="236">
        <v>19</v>
      </c>
      <c r="J156" s="568">
        <f>3489-1446</f>
        <v>2043</v>
      </c>
      <c r="K156" s="232"/>
      <c r="L156" s="232">
        <v>1360</v>
      </c>
      <c r="M156" s="236">
        <v>3345</v>
      </c>
      <c r="N156" s="232"/>
      <c r="O156" s="232">
        <f>-2487-1200+1446</f>
        <v>-2241</v>
      </c>
      <c r="P156" s="232">
        <v>-5038</v>
      </c>
      <c r="Q156" s="232">
        <f t="shared" si="43"/>
        <v>13310</v>
      </c>
      <c r="R156" s="232">
        <v>9419</v>
      </c>
      <c r="S156" s="232">
        <f t="shared" si="37"/>
        <v>3891</v>
      </c>
      <c r="T156" s="534">
        <f t="shared" si="36"/>
        <v>3891</v>
      </c>
      <c r="U156" s="564"/>
      <c r="V156" s="565"/>
    </row>
    <row r="157" s="214" customFormat="1" ht="16.9" customHeight="1" spans="1:22">
      <c r="A157" s="335" t="s">
        <v>746</v>
      </c>
      <c r="B157" s="541" t="s">
        <v>747</v>
      </c>
      <c r="C157" s="540">
        <v>4744</v>
      </c>
      <c r="D157" s="232">
        <f t="shared" si="42"/>
        <v>1121</v>
      </c>
      <c r="E157" s="545">
        <v>480</v>
      </c>
      <c r="F157" s="232">
        <v>971</v>
      </c>
      <c r="G157" s="545"/>
      <c r="H157" s="545"/>
      <c r="I157" s="236">
        <v>59</v>
      </c>
      <c r="J157" s="568">
        <f>1355-1423</f>
        <v>-68</v>
      </c>
      <c r="K157" s="232"/>
      <c r="L157" s="232">
        <v>237</v>
      </c>
      <c r="M157" s="236">
        <v>389</v>
      </c>
      <c r="N157" s="232"/>
      <c r="O157" s="232">
        <f>-1381-600+1423</f>
        <v>-558</v>
      </c>
      <c r="P157" s="232">
        <v>-389</v>
      </c>
      <c r="Q157" s="232">
        <f t="shared" si="43"/>
        <v>5865</v>
      </c>
      <c r="R157" s="232">
        <v>3322</v>
      </c>
      <c r="S157" s="232">
        <f t="shared" si="37"/>
        <v>2543</v>
      </c>
      <c r="T157" s="534">
        <f t="shared" si="36"/>
        <v>2543</v>
      </c>
      <c r="U157" s="564"/>
      <c r="V157" s="565"/>
    </row>
    <row r="158" s="214" customFormat="1" ht="16.9" customHeight="1" spans="1:22">
      <c r="A158" s="335" t="s">
        <v>748</v>
      </c>
      <c r="B158" s="540" t="s">
        <v>749</v>
      </c>
      <c r="C158" s="540">
        <v>46919</v>
      </c>
      <c r="D158" s="232">
        <f t="shared" si="42"/>
        <v>16650</v>
      </c>
      <c r="E158" s="545">
        <v>3226</v>
      </c>
      <c r="F158" s="548">
        <v>14314</v>
      </c>
      <c r="G158" s="545"/>
      <c r="H158" s="545"/>
      <c r="I158" s="236">
        <v>169</v>
      </c>
      <c r="J158" s="232"/>
      <c r="K158" s="232"/>
      <c r="L158" s="232"/>
      <c r="M158" s="236">
        <v>2667</v>
      </c>
      <c r="N158" s="232">
        <f>-564+200</f>
        <v>-364</v>
      </c>
      <c r="O158" s="232">
        <v>-602</v>
      </c>
      <c r="P158" s="232">
        <v>-2760</v>
      </c>
      <c r="Q158" s="232">
        <f t="shared" si="43"/>
        <v>63569</v>
      </c>
      <c r="R158" s="232">
        <v>60021</v>
      </c>
      <c r="S158" s="232">
        <f t="shared" si="37"/>
        <v>3548</v>
      </c>
      <c r="T158" s="534">
        <f t="shared" si="36"/>
        <v>3548</v>
      </c>
      <c r="U158" s="564"/>
      <c r="V158" s="565"/>
    </row>
    <row r="159" s="214" customFormat="1" ht="16.9" customHeight="1" spans="1:22">
      <c r="A159" s="335" t="s">
        <v>750</v>
      </c>
      <c r="B159" s="541" t="s">
        <v>751</v>
      </c>
      <c r="C159" s="540">
        <v>9065</v>
      </c>
      <c r="D159" s="232">
        <f t="shared" si="42"/>
        <v>-1304</v>
      </c>
      <c r="E159" s="545">
        <v>453</v>
      </c>
      <c r="F159" s="232"/>
      <c r="G159" s="545">
        <v>35</v>
      </c>
      <c r="H159" s="545"/>
      <c r="I159" s="236">
        <v>123</v>
      </c>
      <c r="J159" s="232">
        <v>-610</v>
      </c>
      <c r="K159" s="232"/>
      <c r="L159" s="232"/>
      <c r="M159" s="236">
        <v>2365</v>
      </c>
      <c r="N159" s="232"/>
      <c r="O159" s="572">
        <f>-585-720</f>
        <v>-1305</v>
      </c>
      <c r="P159" s="232">
        <v>-2365</v>
      </c>
      <c r="Q159" s="232">
        <f t="shared" si="43"/>
        <v>7761</v>
      </c>
      <c r="R159" s="232">
        <v>7043</v>
      </c>
      <c r="S159" s="232">
        <f t="shared" si="37"/>
        <v>718</v>
      </c>
      <c r="T159" s="534">
        <f t="shared" si="36"/>
        <v>718</v>
      </c>
      <c r="U159" s="564"/>
      <c r="V159" s="565"/>
    </row>
    <row r="160" s="214" customFormat="1" ht="16.9" customHeight="1" spans="1:22">
      <c r="A160" s="335" t="s">
        <v>752</v>
      </c>
      <c r="B160" s="665" t="s">
        <v>753</v>
      </c>
      <c r="C160" s="540">
        <v>953</v>
      </c>
      <c r="D160" s="232">
        <f t="shared" si="42"/>
        <v>-268</v>
      </c>
      <c r="E160" s="545"/>
      <c r="F160" s="232"/>
      <c r="G160" s="545"/>
      <c r="H160" s="545"/>
      <c r="I160" s="236"/>
      <c r="J160" s="232">
        <f>-383-121</f>
        <v>-504</v>
      </c>
      <c r="K160" s="232"/>
      <c r="L160" s="232"/>
      <c r="M160" s="236"/>
      <c r="N160" s="232"/>
      <c r="O160" s="232">
        <f>-183+121</f>
        <v>-62</v>
      </c>
      <c r="P160" s="232">
        <v>298</v>
      </c>
      <c r="Q160" s="232">
        <f t="shared" si="43"/>
        <v>685</v>
      </c>
      <c r="R160" s="232">
        <v>258</v>
      </c>
      <c r="S160" s="232">
        <f t="shared" si="37"/>
        <v>427</v>
      </c>
      <c r="T160" s="534">
        <f t="shared" si="36"/>
        <v>427</v>
      </c>
      <c r="U160" s="564"/>
      <c r="V160" s="565"/>
    </row>
    <row r="161" s="214" customFormat="1" ht="16.9" customHeight="1" spans="1:22">
      <c r="A161" s="335" t="s">
        <v>754</v>
      </c>
      <c r="B161" s="665" t="s">
        <v>755</v>
      </c>
      <c r="C161" s="540">
        <v>0</v>
      </c>
      <c r="D161" s="232">
        <f t="shared" si="42"/>
        <v>169</v>
      </c>
      <c r="E161" s="545">
        <v>169</v>
      </c>
      <c r="F161" s="232"/>
      <c r="G161" s="545"/>
      <c r="H161" s="545"/>
      <c r="I161" s="236"/>
      <c r="J161" s="568"/>
      <c r="K161" s="232"/>
      <c r="L161" s="232"/>
      <c r="M161" s="236"/>
      <c r="N161" s="232"/>
      <c r="O161" s="232"/>
      <c r="P161" s="232">
        <v>0</v>
      </c>
      <c r="Q161" s="232">
        <f t="shared" si="43"/>
        <v>169</v>
      </c>
      <c r="R161" s="232"/>
      <c r="S161" s="232">
        <f t="shared" si="37"/>
        <v>169</v>
      </c>
      <c r="T161" s="534">
        <f t="shared" si="36"/>
        <v>169</v>
      </c>
      <c r="U161" s="564"/>
      <c r="V161" s="565"/>
    </row>
    <row r="162" s="214" customFormat="1" ht="16.9" customHeight="1" spans="1:22">
      <c r="A162" s="335" t="s">
        <v>756</v>
      </c>
      <c r="B162" s="541" t="s">
        <v>757</v>
      </c>
      <c r="C162" s="540">
        <v>18122</v>
      </c>
      <c r="D162" s="232">
        <f t="shared" si="42"/>
        <v>-15362</v>
      </c>
      <c r="E162" s="545">
        <v>1000</v>
      </c>
      <c r="F162" s="232"/>
      <c r="G162" s="545"/>
      <c r="H162" s="545"/>
      <c r="I162" s="236">
        <v>15</v>
      </c>
      <c r="J162" s="232">
        <f>-8273-7299</f>
        <v>-15572</v>
      </c>
      <c r="K162" s="232"/>
      <c r="L162" s="232"/>
      <c r="M162" s="236">
        <v>7933</v>
      </c>
      <c r="N162" s="232"/>
      <c r="O162" s="232">
        <f>-7302+7299</f>
        <v>-3</v>
      </c>
      <c r="P162" s="232">
        <v>-8735</v>
      </c>
      <c r="Q162" s="232">
        <f t="shared" si="43"/>
        <v>2760</v>
      </c>
      <c r="R162" s="232">
        <v>1760</v>
      </c>
      <c r="S162" s="232">
        <f t="shared" si="37"/>
        <v>1000</v>
      </c>
      <c r="T162" s="534">
        <f t="shared" si="36"/>
        <v>1000</v>
      </c>
      <c r="U162" s="564"/>
      <c r="V162" s="565"/>
    </row>
    <row r="163" s="518" customFormat="1" ht="16.9" customHeight="1" spans="1:22">
      <c r="A163" s="535" t="s">
        <v>758</v>
      </c>
      <c r="B163" s="535" t="s">
        <v>759</v>
      </c>
      <c r="C163" s="536">
        <f t="shared" ref="C163:R163" si="44">SUM(C164:C168)</f>
        <v>18242</v>
      </c>
      <c r="D163" s="536">
        <f t="shared" si="44"/>
        <v>-13456</v>
      </c>
      <c r="E163" s="536">
        <f t="shared" si="44"/>
        <v>684</v>
      </c>
      <c r="F163" s="536">
        <f t="shared" si="44"/>
        <v>855</v>
      </c>
      <c r="G163" s="536">
        <f t="shared" si="44"/>
        <v>123</v>
      </c>
      <c r="H163" s="536">
        <f t="shared" si="44"/>
        <v>0</v>
      </c>
      <c r="I163" s="536">
        <f t="shared" si="44"/>
        <v>3</v>
      </c>
      <c r="J163" s="536">
        <f t="shared" si="44"/>
        <v>-12151</v>
      </c>
      <c r="K163" s="536">
        <f t="shared" si="44"/>
        <v>0</v>
      </c>
      <c r="L163" s="536">
        <f t="shared" si="44"/>
        <v>0</v>
      </c>
      <c r="M163" s="536">
        <f t="shared" si="44"/>
        <v>1360</v>
      </c>
      <c r="N163" s="536">
        <f t="shared" si="44"/>
        <v>-75</v>
      </c>
      <c r="O163" s="536">
        <f t="shared" si="44"/>
        <v>-2356</v>
      </c>
      <c r="P163" s="536">
        <f t="shared" si="44"/>
        <v>-1899</v>
      </c>
      <c r="Q163" s="536">
        <f t="shared" si="44"/>
        <v>4786</v>
      </c>
      <c r="R163" s="536">
        <f t="shared" si="44"/>
        <v>2394</v>
      </c>
      <c r="S163" s="536">
        <f t="shared" si="37"/>
        <v>2392</v>
      </c>
      <c r="T163" s="536">
        <f t="shared" si="36"/>
        <v>2392</v>
      </c>
      <c r="U163" s="562"/>
      <c r="V163" s="563"/>
    </row>
    <row r="164" s="214" customFormat="1" ht="16.9" customHeight="1" spans="1:22">
      <c r="A164" s="335" t="s">
        <v>760</v>
      </c>
      <c r="B164" s="539" t="s">
        <v>761</v>
      </c>
      <c r="C164" s="540">
        <v>18102</v>
      </c>
      <c r="D164" s="232">
        <f t="shared" ref="D164:D168" si="45">SUM(E164:P164)</f>
        <v>-13764</v>
      </c>
      <c r="E164" s="545">
        <v>684</v>
      </c>
      <c r="F164" s="548">
        <v>416</v>
      </c>
      <c r="G164" s="545">
        <v>123</v>
      </c>
      <c r="H164" s="545"/>
      <c r="I164" s="236">
        <v>1</v>
      </c>
      <c r="J164" s="545">
        <f>1-11554</f>
        <v>-11553</v>
      </c>
      <c r="K164" s="232"/>
      <c r="L164" s="232"/>
      <c r="M164" s="236">
        <v>1360</v>
      </c>
      <c r="N164" s="232">
        <v>-75</v>
      </c>
      <c r="O164" s="572">
        <f>-11910-2000+11554</f>
        <v>-2356</v>
      </c>
      <c r="P164" s="232">
        <v>-2364</v>
      </c>
      <c r="Q164" s="232">
        <f t="shared" ref="Q164:Q168" si="46">C164+D164</f>
        <v>4338</v>
      </c>
      <c r="R164" s="232">
        <v>2383</v>
      </c>
      <c r="S164" s="232">
        <f t="shared" si="37"/>
        <v>1955</v>
      </c>
      <c r="T164" s="534">
        <f t="shared" si="36"/>
        <v>1955</v>
      </c>
      <c r="U164" s="564"/>
      <c r="V164" s="565"/>
    </row>
    <row r="165" s="214" customFormat="1" ht="16.9" customHeight="1" spans="1:22">
      <c r="A165" s="335" t="s">
        <v>762</v>
      </c>
      <c r="B165" s="539" t="s">
        <v>763</v>
      </c>
      <c r="C165" s="540">
        <v>8</v>
      </c>
      <c r="D165" s="232">
        <f t="shared" si="45"/>
        <v>-1</v>
      </c>
      <c r="E165" s="545"/>
      <c r="F165" s="545"/>
      <c r="G165" s="545"/>
      <c r="H165" s="545"/>
      <c r="I165" s="545"/>
      <c r="J165" s="545">
        <v>-1</v>
      </c>
      <c r="K165" s="232"/>
      <c r="L165" s="232"/>
      <c r="M165" s="236"/>
      <c r="N165" s="232"/>
      <c r="O165" s="232"/>
      <c r="P165" s="232">
        <v>0</v>
      </c>
      <c r="Q165" s="232">
        <f t="shared" si="46"/>
        <v>7</v>
      </c>
      <c r="R165" s="232">
        <v>7</v>
      </c>
      <c r="S165" s="232">
        <f t="shared" si="37"/>
        <v>0</v>
      </c>
      <c r="T165" s="534">
        <f t="shared" si="36"/>
        <v>0</v>
      </c>
      <c r="U165" s="564"/>
      <c r="V165" s="565"/>
    </row>
    <row r="166" s="214" customFormat="1" ht="16.9" customHeight="1" spans="1:22">
      <c r="A166" s="335" t="s">
        <v>764</v>
      </c>
      <c r="B166" s="539" t="s">
        <v>765</v>
      </c>
      <c r="C166" s="540">
        <v>0</v>
      </c>
      <c r="D166" s="232">
        <f t="shared" si="45"/>
        <v>0</v>
      </c>
      <c r="E166" s="545"/>
      <c r="F166" s="232">
        <v>0</v>
      </c>
      <c r="G166" s="545"/>
      <c r="H166" s="545"/>
      <c r="I166" s="545"/>
      <c r="J166" s="568"/>
      <c r="K166" s="232"/>
      <c r="L166" s="232"/>
      <c r="M166" s="236"/>
      <c r="N166" s="232"/>
      <c r="O166" s="232"/>
      <c r="P166" s="232">
        <v>0</v>
      </c>
      <c r="Q166" s="232">
        <f t="shared" si="46"/>
        <v>0</v>
      </c>
      <c r="R166" s="232"/>
      <c r="S166" s="232">
        <f t="shared" si="37"/>
        <v>0</v>
      </c>
      <c r="T166" s="534">
        <f t="shared" si="36"/>
        <v>0</v>
      </c>
      <c r="U166" s="564"/>
      <c r="V166" s="565"/>
    </row>
    <row r="167" s="214" customFormat="1" ht="17.1" customHeight="1" spans="1:22">
      <c r="A167" s="335" t="s">
        <v>766</v>
      </c>
      <c r="B167" s="539" t="s">
        <v>767</v>
      </c>
      <c r="C167" s="540">
        <v>0</v>
      </c>
      <c r="D167" s="232">
        <f t="shared" si="45"/>
        <v>0</v>
      </c>
      <c r="E167" s="545"/>
      <c r="F167" s="232">
        <v>0</v>
      </c>
      <c r="G167" s="545"/>
      <c r="H167" s="545"/>
      <c r="I167" s="545"/>
      <c r="J167" s="568"/>
      <c r="K167" s="232"/>
      <c r="L167" s="232"/>
      <c r="M167" s="236"/>
      <c r="N167" s="232"/>
      <c r="O167" s="232"/>
      <c r="P167" s="232">
        <v>0</v>
      </c>
      <c r="Q167" s="232">
        <f t="shared" si="46"/>
        <v>0</v>
      </c>
      <c r="R167" s="232"/>
      <c r="S167" s="232">
        <f t="shared" si="37"/>
        <v>0</v>
      </c>
      <c r="T167" s="534">
        <f t="shared" si="36"/>
        <v>0</v>
      </c>
      <c r="U167" s="564"/>
      <c r="V167" s="565"/>
    </row>
    <row r="168" s="214" customFormat="1" ht="17.25" customHeight="1" spans="1:22">
      <c r="A168" s="335" t="s">
        <v>768</v>
      </c>
      <c r="B168" s="539" t="s">
        <v>769</v>
      </c>
      <c r="C168" s="540">
        <v>132</v>
      </c>
      <c r="D168" s="232">
        <f t="shared" si="45"/>
        <v>309</v>
      </c>
      <c r="E168" s="545"/>
      <c r="F168" s="232">
        <v>439</v>
      </c>
      <c r="G168" s="545"/>
      <c r="H168" s="545"/>
      <c r="I168" s="236">
        <v>2</v>
      </c>
      <c r="J168" s="568">
        <v>-597</v>
      </c>
      <c r="K168" s="232"/>
      <c r="L168" s="232"/>
      <c r="M168" s="236"/>
      <c r="N168" s="232"/>
      <c r="O168" s="569">
        <f>-597+597</f>
        <v>0</v>
      </c>
      <c r="P168" s="232">
        <v>465</v>
      </c>
      <c r="Q168" s="232">
        <f t="shared" si="46"/>
        <v>441</v>
      </c>
      <c r="R168" s="232">
        <v>4</v>
      </c>
      <c r="S168" s="232">
        <f t="shared" si="37"/>
        <v>437</v>
      </c>
      <c r="T168" s="534">
        <f t="shared" si="36"/>
        <v>437</v>
      </c>
      <c r="U168" s="564"/>
      <c r="V168" s="565"/>
    </row>
    <row r="169" s="518" customFormat="1" ht="16.9" customHeight="1" spans="1:22">
      <c r="A169" s="535" t="s">
        <v>770</v>
      </c>
      <c r="B169" s="535" t="s">
        <v>771</v>
      </c>
      <c r="C169" s="536">
        <f t="shared" ref="C169:R169" si="47">SUM(C170:C176)</f>
        <v>753</v>
      </c>
      <c r="D169" s="536">
        <f t="shared" si="47"/>
        <v>194</v>
      </c>
      <c r="E169" s="536">
        <f t="shared" si="47"/>
        <v>187</v>
      </c>
      <c r="F169" s="536">
        <f t="shared" si="47"/>
        <v>18</v>
      </c>
      <c r="G169" s="536">
        <f t="shared" si="47"/>
        <v>2</v>
      </c>
      <c r="H169" s="536">
        <f t="shared" si="47"/>
        <v>0</v>
      </c>
      <c r="I169" s="536">
        <f t="shared" si="47"/>
        <v>16</v>
      </c>
      <c r="J169" s="536">
        <f t="shared" si="47"/>
        <v>-34</v>
      </c>
      <c r="K169" s="536">
        <f t="shared" si="47"/>
        <v>0</v>
      </c>
      <c r="L169" s="536">
        <f t="shared" si="47"/>
        <v>0</v>
      </c>
      <c r="M169" s="536">
        <f t="shared" si="47"/>
        <v>0</v>
      </c>
      <c r="N169" s="536">
        <f t="shared" si="47"/>
        <v>0</v>
      </c>
      <c r="O169" s="536">
        <f t="shared" si="47"/>
        <v>0</v>
      </c>
      <c r="P169" s="536">
        <f t="shared" si="47"/>
        <v>5</v>
      </c>
      <c r="Q169" s="536">
        <f t="shared" si="47"/>
        <v>947</v>
      </c>
      <c r="R169" s="536">
        <f t="shared" si="47"/>
        <v>889</v>
      </c>
      <c r="S169" s="536">
        <f t="shared" si="37"/>
        <v>58</v>
      </c>
      <c r="T169" s="536">
        <f t="shared" si="36"/>
        <v>58</v>
      </c>
      <c r="U169" s="562"/>
      <c r="V169" s="563"/>
    </row>
    <row r="170" s="214" customFormat="1" ht="16.9" customHeight="1" spans="1:22">
      <c r="A170" s="335" t="s">
        <v>772</v>
      </c>
      <c r="B170" s="541" t="s">
        <v>773</v>
      </c>
      <c r="C170" s="232"/>
      <c r="D170" s="232">
        <f t="shared" ref="D170:D176" si="48">SUM(E170:P170)</f>
        <v>33</v>
      </c>
      <c r="E170" s="545"/>
      <c r="F170" s="548">
        <v>17</v>
      </c>
      <c r="G170" s="545"/>
      <c r="H170" s="545"/>
      <c r="I170" s="236">
        <v>16</v>
      </c>
      <c r="J170" s="232"/>
      <c r="K170" s="232"/>
      <c r="L170" s="232"/>
      <c r="M170" s="236"/>
      <c r="N170" s="232"/>
      <c r="O170" s="232"/>
      <c r="P170" s="232"/>
      <c r="Q170" s="232">
        <f t="shared" ref="Q170:Q176" si="49">C170+D170</f>
        <v>33</v>
      </c>
      <c r="R170" s="232">
        <v>33</v>
      </c>
      <c r="S170" s="232">
        <f t="shared" si="37"/>
        <v>0</v>
      </c>
      <c r="T170" s="534">
        <f t="shared" si="36"/>
        <v>0</v>
      </c>
      <c r="U170" s="564"/>
      <c r="V170" s="565"/>
    </row>
    <row r="171" s="214" customFormat="1" ht="16.9" customHeight="1" spans="1:22">
      <c r="A171" s="335" t="s">
        <v>774</v>
      </c>
      <c r="B171" s="541" t="s">
        <v>775</v>
      </c>
      <c r="C171" s="232">
        <v>153</v>
      </c>
      <c r="D171" s="232">
        <f t="shared" si="48"/>
        <v>159</v>
      </c>
      <c r="E171" s="545">
        <v>187</v>
      </c>
      <c r="F171" s="548">
        <v>1</v>
      </c>
      <c r="G171" s="545"/>
      <c r="H171" s="545"/>
      <c r="I171" s="545"/>
      <c r="J171" s="232">
        <v>-34</v>
      </c>
      <c r="K171" s="232"/>
      <c r="L171" s="232"/>
      <c r="M171" s="236"/>
      <c r="N171" s="232"/>
      <c r="O171" s="232">
        <f>-34+34</f>
        <v>0</v>
      </c>
      <c r="P171" s="236">
        <v>5</v>
      </c>
      <c r="Q171" s="232">
        <f t="shared" si="49"/>
        <v>312</v>
      </c>
      <c r="R171" s="232">
        <v>256</v>
      </c>
      <c r="S171" s="232">
        <f t="shared" si="37"/>
        <v>56</v>
      </c>
      <c r="T171" s="534">
        <f t="shared" si="36"/>
        <v>56</v>
      </c>
      <c r="U171" s="564"/>
      <c r="V171" s="565"/>
    </row>
    <row r="172" s="214" customFormat="1" ht="16.9" customHeight="1" spans="1:22">
      <c r="A172" s="335" t="s">
        <v>776</v>
      </c>
      <c r="B172" s="541" t="s">
        <v>777</v>
      </c>
      <c r="C172" s="232"/>
      <c r="D172" s="232">
        <f t="shared" si="48"/>
        <v>0</v>
      </c>
      <c r="E172" s="545"/>
      <c r="F172" s="548">
        <v>0</v>
      </c>
      <c r="G172" s="545"/>
      <c r="H172" s="545"/>
      <c r="I172" s="545"/>
      <c r="J172" s="232"/>
      <c r="K172" s="232"/>
      <c r="L172" s="232"/>
      <c r="M172" s="236"/>
      <c r="N172" s="232"/>
      <c r="O172" s="232"/>
      <c r="P172" s="232"/>
      <c r="Q172" s="232">
        <f t="shared" si="49"/>
        <v>0</v>
      </c>
      <c r="R172" s="232"/>
      <c r="S172" s="232">
        <f t="shared" si="37"/>
        <v>0</v>
      </c>
      <c r="T172" s="534">
        <f t="shared" si="36"/>
        <v>0</v>
      </c>
      <c r="U172" s="564"/>
      <c r="V172" s="565"/>
    </row>
    <row r="173" s="214" customFormat="1" ht="16.9" customHeight="1" spans="1:22">
      <c r="A173" s="335" t="s">
        <v>778</v>
      </c>
      <c r="B173" s="541" t="s">
        <v>779</v>
      </c>
      <c r="C173" s="232"/>
      <c r="D173" s="232">
        <f t="shared" si="48"/>
        <v>2</v>
      </c>
      <c r="E173" s="545"/>
      <c r="F173" s="548">
        <v>0</v>
      </c>
      <c r="G173" s="545">
        <v>2</v>
      </c>
      <c r="H173" s="545"/>
      <c r="I173" s="545"/>
      <c r="J173" s="545"/>
      <c r="K173" s="232"/>
      <c r="L173" s="232"/>
      <c r="M173" s="236"/>
      <c r="N173" s="232"/>
      <c r="O173" s="232"/>
      <c r="P173" s="232"/>
      <c r="Q173" s="232">
        <f t="shared" si="49"/>
        <v>2</v>
      </c>
      <c r="R173" s="232"/>
      <c r="S173" s="232">
        <f t="shared" si="37"/>
        <v>2</v>
      </c>
      <c r="T173" s="534">
        <f t="shared" si="36"/>
        <v>2</v>
      </c>
      <c r="U173" s="564"/>
      <c r="V173" s="565"/>
    </row>
    <row r="174" s="214" customFormat="1" ht="16.9" customHeight="1" spans="1:22">
      <c r="A174" s="335" t="s">
        <v>780</v>
      </c>
      <c r="B174" s="541" t="s">
        <v>781</v>
      </c>
      <c r="C174" s="232"/>
      <c r="D174" s="232">
        <f t="shared" si="48"/>
        <v>0</v>
      </c>
      <c r="E174" s="545"/>
      <c r="F174" s="548">
        <v>0</v>
      </c>
      <c r="G174" s="545"/>
      <c r="H174" s="545"/>
      <c r="I174" s="545"/>
      <c r="J174" s="545"/>
      <c r="K174" s="232"/>
      <c r="L174" s="232"/>
      <c r="M174" s="236"/>
      <c r="N174" s="232"/>
      <c r="O174" s="232"/>
      <c r="P174" s="232"/>
      <c r="Q174" s="232">
        <f t="shared" si="49"/>
        <v>0</v>
      </c>
      <c r="R174" s="232"/>
      <c r="S174" s="232">
        <f t="shared" si="37"/>
        <v>0</v>
      </c>
      <c r="T174" s="534">
        <f t="shared" si="36"/>
        <v>0</v>
      </c>
      <c r="U174" s="564"/>
      <c r="V174" s="565"/>
    </row>
    <row r="175" s="214" customFormat="1" ht="17.1" customHeight="1" spans="1:22">
      <c r="A175" s="335" t="s">
        <v>782</v>
      </c>
      <c r="B175" s="541" t="s">
        <v>783</v>
      </c>
      <c r="C175" s="232"/>
      <c r="D175" s="232">
        <f t="shared" si="48"/>
        <v>0</v>
      </c>
      <c r="E175" s="545"/>
      <c r="F175" s="548"/>
      <c r="G175" s="545"/>
      <c r="H175" s="545"/>
      <c r="I175" s="545"/>
      <c r="J175" s="545"/>
      <c r="K175" s="232"/>
      <c r="L175" s="232"/>
      <c r="M175" s="236"/>
      <c r="N175" s="232"/>
      <c r="O175" s="232"/>
      <c r="P175" s="232"/>
      <c r="Q175" s="232">
        <f t="shared" si="49"/>
        <v>0</v>
      </c>
      <c r="R175" s="232"/>
      <c r="S175" s="232">
        <f t="shared" si="37"/>
        <v>0</v>
      </c>
      <c r="T175" s="534">
        <f t="shared" si="36"/>
        <v>0</v>
      </c>
      <c r="U175" s="564"/>
      <c r="V175" s="565"/>
    </row>
    <row r="176" s="214" customFormat="1" ht="16.9" customHeight="1" spans="1:22">
      <c r="A176" s="335" t="s">
        <v>784</v>
      </c>
      <c r="B176" s="541" t="s">
        <v>785</v>
      </c>
      <c r="C176" s="540">
        <v>600</v>
      </c>
      <c r="D176" s="232">
        <f t="shared" si="48"/>
        <v>0</v>
      </c>
      <c r="E176" s="545"/>
      <c r="F176" s="548">
        <v>0</v>
      </c>
      <c r="G176" s="545"/>
      <c r="H176" s="545"/>
      <c r="I176" s="545"/>
      <c r="J176" s="545"/>
      <c r="K176" s="232"/>
      <c r="L176" s="232"/>
      <c r="M176" s="236"/>
      <c r="N176" s="232"/>
      <c r="O176" s="232"/>
      <c r="P176" s="232"/>
      <c r="Q176" s="232">
        <f t="shared" si="49"/>
        <v>600</v>
      </c>
      <c r="R176" s="232">
        <v>600</v>
      </c>
      <c r="S176" s="232">
        <f t="shared" si="37"/>
        <v>0</v>
      </c>
      <c r="T176" s="534">
        <f t="shared" si="36"/>
        <v>0</v>
      </c>
      <c r="U176" s="564"/>
      <c r="V176" s="565"/>
    </row>
    <row r="177" s="518" customFormat="1" ht="16.9" customHeight="1" spans="1:22">
      <c r="A177" s="535" t="s">
        <v>786</v>
      </c>
      <c r="B177" s="535" t="s">
        <v>787</v>
      </c>
      <c r="C177" s="536">
        <f t="shared" ref="C177:R177" si="50">SUM(C178:C180)</f>
        <v>107</v>
      </c>
      <c r="D177" s="536">
        <f t="shared" si="50"/>
        <v>166</v>
      </c>
      <c r="E177" s="536">
        <f t="shared" si="50"/>
        <v>125</v>
      </c>
      <c r="F177" s="536">
        <f t="shared" si="50"/>
        <v>38</v>
      </c>
      <c r="G177" s="536">
        <f t="shared" si="50"/>
        <v>0</v>
      </c>
      <c r="H177" s="536">
        <f t="shared" si="50"/>
        <v>0</v>
      </c>
      <c r="I177" s="536">
        <f t="shared" si="50"/>
        <v>3</v>
      </c>
      <c r="J177" s="536">
        <f t="shared" si="50"/>
        <v>0</v>
      </c>
      <c r="K177" s="536">
        <f t="shared" si="50"/>
        <v>0</v>
      </c>
      <c r="L177" s="536">
        <f t="shared" si="50"/>
        <v>0</v>
      </c>
      <c r="M177" s="536">
        <f t="shared" si="50"/>
        <v>0</v>
      </c>
      <c r="N177" s="536">
        <f t="shared" si="50"/>
        <v>0</v>
      </c>
      <c r="O177" s="536">
        <f t="shared" si="50"/>
        <v>0</v>
      </c>
      <c r="P177" s="536">
        <f t="shared" si="50"/>
        <v>0</v>
      </c>
      <c r="Q177" s="536">
        <f t="shared" si="50"/>
        <v>273</v>
      </c>
      <c r="R177" s="536">
        <f t="shared" si="50"/>
        <v>128</v>
      </c>
      <c r="S177" s="536">
        <f t="shared" si="37"/>
        <v>145</v>
      </c>
      <c r="T177" s="536">
        <f t="shared" si="36"/>
        <v>145</v>
      </c>
      <c r="U177" s="562"/>
      <c r="V177" s="563"/>
    </row>
    <row r="178" s="214" customFormat="1" ht="16.9" customHeight="1" spans="1:22">
      <c r="A178" s="335" t="s">
        <v>788</v>
      </c>
      <c r="B178" s="541" t="s">
        <v>789</v>
      </c>
      <c r="C178" s="540">
        <v>107</v>
      </c>
      <c r="D178" s="232">
        <f t="shared" ref="D178:D180" si="51">SUM(E178:P178)</f>
        <v>166</v>
      </c>
      <c r="E178" s="545">
        <v>125</v>
      </c>
      <c r="F178" s="232">
        <v>38</v>
      </c>
      <c r="G178" s="545">
        <v>0</v>
      </c>
      <c r="H178" s="545">
        <v>0</v>
      </c>
      <c r="I178" s="236">
        <v>3</v>
      </c>
      <c r="J178" s="232"/>
      <c r="K178" s="232"/>
      <c r="L178" s="232"/>
      <c r="M178" s="236"/>
      <c r="N178" s="232"/>
      <c r="O178" s="232"/>
      <c r="P178" s="232"/>
      <c r="Q178" s="232">
        <f t="shared" ref="Q178:Q180" si="52">C178+D178</f>
        <v>273</v>
      </c>
      <c r="R178" s="232">
        <v>128</v>
      </c>
      <c r="S178" s="232">
        <f t="shared" si="37"/>
        <v>145</v>
      </c>
      <c r="T178" s="534">
        <f t="shared" si="36"/>
        <v>145</v>
      </c>
      <c r="U178" s="564"/>
      <c r="V178" s="565"/>
    </row>
    <row r="179" s="214" customFormat="1" ht="16.9" customHeight="1" spans="1:22">
      <c r="A179" s="335" t="s">
        <v>790</v>
      </c>
      <c r="B179" s="541" t="s">
        <v>791</v>
      </c>
      <c r="C179" s="232">
        <v>0</v>
      </c>
      <c r="D179" s="232">
        <f t="shared" si="51"/>
        <v>0</v>
      </c>
      <c r="E179" s="545">
        <v>0</v>
      </c>
      <c r="F179" s="548">
        <v>0</v>
      </c>
      <c r="G179" s="545">
        <v>0</v>
      </c>
      <c r="H179" s="545">
        <v>0</v>
      </c>
      <c r="I179" s="545"/>
      <c r="J179" s="232"/>
      <c r="K179" s="232"/>
      <c r="L179" s="232"/>
      <c r="M179" s="236"/>
      <c r="N179" s="232"/>
      <c r="O179" s="232"/>
      <c r="P179" s="232"/>
      <c r="Q179" s="232">
        <f t="shared" si="52"/>
        <v>0</v>
      </c>
      <c r="R179" s="232">
        <v>0</v>
      </c>
      <c r="S179" s="232">
        <f t="shared" si="37"/>
        <v>0</v>
      </c>
      <c r="T179" s="534">
        <f t="shared" si="36"/>
        <v>0</v>
      </c>
      <c r="U179" s="564"/>
      <c r="V179" s="565"/>
    </row>
    <row r="180" s="214" customFormat="1" ht="16.9" customHeight="1" spans="1:22">
      <c r="A180" s="335" t="s">
        <v>792</v>
      </c>
      <c r="B180" s="541" t="s">
        <v>793</v>
      </c>
      <c r="C180" s="232">
        <v>0</v>
      </c>
      <c r="D180" s="232">
        <f t="shared" si="51"/>
        <v>0</v>
      </c>
      <c r="E180" s="545"/>
      <c r="F180" s="548">
        <v>0</v>
      </c>
      <c r="G180" s="545">
        <v>0</v>
      </c>
      <c r="H180" s="545">
        <v>0</v>
      </c>
      <c r="I180" s="545"/>
      <c r="J180" s="232"/>
      <c r="K180" s="232"/>
      <c r="L180" s="232"/>
      <c r="M180" s="236"/>
      <c r="N180" s="232"/>
      <c r="O180" s="232"/>
      <c r="P180" s="232"/>
      <c r="Q180" s="232">
        <f t="shared" si="52"/>
        <v>0</v>
      </c>
      <c r="R180" s="232">
        <v>0</v>
      </c>
      <c r="S180" s="232">
        <f t="shared" si="37"/>
        <v>0</v>
      </c>
      <c r="T180" s="534">
        <f t="shared" si="36"/>
        <v>0</v>
      </c>
      <c r="U180" s="564"/>
      <c r="V180" s="565"/>
    </row>
    <row r="181" s="518" customFormat="1" ht="16.9" customHeight="1" spans="1:22">
      <c r="A181" s="535" t="s">
        <v>794</v>
      </c>
      <c r="B181" s="535" t="s">
        <v>795</v>
      </c>
      <c r="C181" s="536">
        <f t="shared" ref="C181:R181" si="53">SUM(C182:C186)</f>
        <v>0</v>
      </c>
      <c r="D181" s="536">
        <f t="shared" si="53"/>
        <v>323</v>
      </c>
      <c r="E181" s="536">
        <f t="shared" si="53"/>
        <v>296</v>
      </c>
      <c r="F181" s="536">
        <f t="shared" si="53"/>
        <v>0</v>
      </c>
      <c r="G181" s="536">
        <f t="shared" si="53"/>
        <v>0</v>
      </c>
      <c r="H181" s="536">
        <f t="shared" si="53"/>
        <v>0</v>
      </c>
      <c r="I181" s="536">
        <f t="shared" si="53"/>
        <v>0</v>
      </c>
      <c r="J181" s="536">
        <f t="shared" si="53"/>
        <v>-451</v>
      </c>
      <c r="K181" s="536">
        <f t="shared" si="53"/>
        <v>0</v>
      </c>
      <c r="L181" s="536">
        <f t="shared" si="53"/>
        <v>0</v>
      </c>
      <c r="M181" s="536">
        <f t="shared" si="53"/>
        <v>0</v>
      </c>
      <c r="N181" s="536">
        <f t="shared" si="53"/>
        <v>0</v>
      </c>
      <c r="O181" s="536">
        <f t="shared" si="53"/>
        <v>0</v>
      </c>
      <c r="P181" s="536">
        <f t="shared" si="53"/>
        <v>478</v>
      </c>
      <c r="Q181" s="536">
        <f t="shared" si="53"/>
        <v>323</v>
      </c>
      <c r="R181" s="536">
        <f t="shared" si="53"/>
        <v>37</v>
      </c>
      <c r="S181" s="536">
        <f t="shared" si="37"/>
        <v>286</v>
      </c>
      <c r="T181" s="536">
        <f t="shared" si="36"/>
        <v>286</v>
      </c>
      <c r="U181" s="562"/>
      <c r="V181" s="563"/>
    </row>
    <row r="182" s="214" customFormat="1" ht="16.9" customHeight="1" spans="1:22">
      <c r="A182" s="337" t="s">
        <v>796</v>
      </c>
      <c r="B182" s="539" t="s">
        <v>431</v>
      </c>
      <c r="C182" s="232">
        <v>0</v>
      </c>
      <c r="D182" s="232">
        <f t="shared" ref="D182:D186" si="54">SUM(E182:P182)</f>
        <v>19</v>
      </c>
      <c r="E182" s="545">
        <v>0</v>
      </c>
      <c r="F182" s="548"/>
      <c r="G182" s="545">
        <v>0</v>
      </c>
      <c r="H182" s="545">
        <v>0</v>
      </c>
      <c r="I182" s="545"/>
      <c r="J182" s="232">
        <v>19</v>
      </c>
      <c r="K182" s="232"/>
      <c r="L182" s="232"/>
      <c r="M182" s="236"/>
      <c r="N182" s="232"/>
      <c r="O182" s="232"/>
      <c r="P182" s="232"/>
      <c r="Q182" s="232">
        <f t="shared" ref="Q182:Q186" si="55">C182+D182</f>
        <v>19</v>
      </c>
      <c r="R182" s="232">
        <v>19</v>
      </c>
      <c r="S182" s="232">
        <f t="shared" si="37"/>
        <v>0</v>
      </c>
      <c r="T182" s="534">
        <f t="shared" si="36"/>
        <v>0</v>
      </c>
      <c r="U182" s="564"/>
      <c r="V182" s="565"/>
    </row>
    <row r="183" s="214" customFormat="1" ht="16.9" customHeight="1" spans="1:22">
      <c r="A183" s="337" t="s">
        <v>797</v>
      </c>
      <c r="B183" s="539" t="s">
        <v>432</v>
      </c>
      <c r="C183" s="232"/>
      <c r="D183" s="232">
        <f t="shared" si="54"/>
        <v>0</v>
      </c>
      <c r="E183" s="545"/>
      <c r="F183" s="548">
        <v>0</v>
      </c>
      <c r="G183" s="545"/>
      <c r="H183" s="545"/>
      <c r="I183" s="545"/>
      <c r="J183" s="232"/>
      <c r="K183" s="232"/>
      <c r="L183" s="232"/>
      <c r="M183" s="236"/>
      <c r="N183" s="232"/>
      <c r="O183" s="232"/>
      <c r="P183" s="232"/>
      <c r="Q183" s="232">
        <f t="shared" si="55"/>
        <v>0</v>
      </c>
      <c r="R183" s="232"/>
      <c r="S183" s="232">
        <f t="shared" si="37"/>
        <v>0</v>
      </c>
      <c r="T183" s="534">
        <f t="shared" si="36"/>
        <v>0</v>
      </c>
      <c r="U183" s="564"/>
      <c r="V183" s="565"/>
    </row>
    <row r="184" s="214" customFormat="1" ht="16.9" customHeight="1" spans="1:22">
      <c r="A184" s="337" t="s">
        <v>798</v>
      </c>
      <c r="B184" s="539" t="s">
        <v>433</v>
      </c>
      <c r="C184" s="232"/>
      <c r="D184" s="232">
        <f t="shared" si="54"/>
        <v>304</v>
      </c>
      <c r="E184" s="545">
        <v>296</v>
      </c>
      <c r="F184" s="548"/>
      <c r="G184" s="545"/>
      <c r="H184" s="545"/>
      <c r="I184" s="545"/>
      <c r="J184" s="548">
        <f>-407-63</f>
        <v>-470</v>
      </c>
      <c r="K184" s="232"/>
      <c r="L184" s="232"/>
      <c r="M184" s="236"/>
      <c r="N184" s="232"/>
      <c r="O184" s="232">
        <f>-63+63</f>
        <v>0</v>
      </c>
      <c r="P184" s="236">
        <v>478</v>
      </c>
      <c r="Q184" s="232">
        <f t="shared" si="55"/>
        <v>304</v>
      </c>
      <c r="R184" s="232">
        <v>18</v>
      </c>
      <c r="S184" s="232">
        <f t="shared" si="37"/>
        <v>286</v>
      </c>
      <c r="T184" s="534">
        <f t="shared" si="36"/>
        <v>286</v>
      </c>
      <c r="U184" s="564"/>
      <c r="V184" s="565"/>
    </row>
    <row r="185" s="214" customFormat="1" ht="16.9" customHeight="1" spans="1:22">
      <c r="A185" s="337" t="s">
        <v>799</v>
      </c>
      <c r="B185" s="539" t="s">
        <v>434</v>
      </c>
      <c r="C185" s="540"/>
      <c r="D185" s="232">
        <f t="shared" si="54"/>
        <v>0</v>
      </c>
      <c r="E185" s="545"/>
      <c r="F185" s="548"/>
      <c r="G185" s="545">
        <v>0</v>
      </c>
      <c r="H185" s="545"/>
      <c r="I185" s="545"/>
      <c r="J185" s="232"/>
      <c r="K185" s="232"/>
      <c r="L185" s="232"/>
      <c r="M185" s="236"/>
      <c r="N185" s="232"/>
      <c r="O185" s="232"/>
      <c r="P185" s="232"/>
      <c r="Q185" s="232">
        <f t="shared" si="55"/>
        <v>0</v>
      </c>
      <c r="R185" s="232"/>
      <c r="S185" s="232">
        <f t="shared" si="37"/>
        <v>0</v>
      </c>
      <c r="T185" s="534">
        <f t="shared" si="36"/>
        <v>0</v>
      </c>
      <c r="U185" s="564"/>
      <c r="V185" s="565"/>
    </row>
    <row r="186" s="214" customFormat="1" ht="16.9" customHeight="1" spans="1:22">
      <c r="A186" s="337" t="s">
        <v>800</v>
      </c>
      <c r="B186" s="539" t="s">
        <v>435</v>
      </c>
      <c r="C186" s="232">
        <v>0</v>
      </c>
      <c r="D186" s="232">
        <f t="shared" si="54"/>
        <v>0</v>
      </c>
      <c r="E186" s="545"/>
      <c r="F186" s="548"/>
      <c r="G186" s="545">
        <v>0</v>
      </c>
      <c r="H186" s="545">
        <v>0</v>
      </c>
      <c r="I186" s="545"/>
      <c r="J186" s="232"/>
      <c r="K186" s="232"/>
      <c r="L186" s="232"/>
      <c r="M186" s="236"/>
      <c r="N186" s="232"/>
      <c r="O186" s="232"/>
      <c r="P186" s="232"/>
      <c r="Q186" s="232">
        <f t="shared" si="55"/>
        <v>0</v>
      </c>
      <c r="R186" s="232"/>
      <c r="S186" s="232">
        <f t="shared" si="37"/>
        <v>0</v>
      </c>
      <c r="T186" s="534">
        <f t="shared" si="36"/>
        <v>0</v>
      </c>
      <c r="U186" s="564"/>
      <c r="V186" s="565"/>
    </row>
    <row r="187" s="518" customFormat="1" ht="16.9" customHeight="1" spans="1:22">
      <c r="A187" s="535" t="s">
        <v>801</v>
      </c>
      <c r="B187" s="535" t="s">
        <v>802</v>
      </c>
      <c r="C187" s="536">
        <f t="shared" ref="C187:R187" si="56">SUM(C188:C196)</f>
        <v>0</v>
      </c>
      <c r="D187" s="536">
        <f t="shared" si="56"/>
        <v>0</v>
      </c>
      <c r="E187" s="536">
        <f t="shared" si="56"/>
        <v>0</v>
      </c>
      <c r="F187" s="536">
        <f t="shared" si="56"/>
        <v>0</v>
      </c>
      <c r="G187" s="536">
        <f t="shared" si="56"/>
        <v>0</v>
      </c>
      <c r="H187" s="536">
        <f t="shared" si="56"/>
        <v>0</v>
      </c>
      <c r="I187" s="536">
        <f t="shared" si="56"/>
        <v>0</v>
      </c>
      <c r="J187" s="536">
        <f t="shared" si="56"/>
        <v>0</v>
      </c>
      <c r="K187" s="536">
        <f t="shared" si="56"/>
        <v>0</v>
      </c>
      <c r="L187" s="536">
        <f t="shared" si="56"/>
        <v>0</v>
      </c>
      <c r="M187" s="536">
        <f t="shared" si="56"/>
        <v>0</v>
      </c>
      <c r="N187" s="536">
        <f t="shared" si="56"/>
        <v>0</v>
      </c>
      <c r="O187" s="536">
        <f t="shared" si="56"/>
        <v>0</v>
      </c>
      <c r="P187" s="536">
        <f t="shared" si="56"/>
        <v>0</v>
      </c>
      <c r="Q187" s="536">
        <f t="shared" si="56"/>
        <v>0</v>
      </c>
      <c r="R187" s="536">
        <f t="shared" si="56"/>
        <v>0</v>
      </c>
      <c r="S187" s="536">
        <f t="shared" si="37"/>
        <v>0</v>
      </c>
      <c r="T187" s="536">
        <f t="shared" si="36"/>
        <v>0</v>
      </c>
      <c r="U187" s="562"/>
      <c r="V187" s="563"/>
    </row>
    <row r="188" s="214" customFormat="1" ht="16.9" customHeight="1" spans="1:22">
      <c r="A188" s="335" t="s">
        <v>803</v>
      </c>
      <c r="B188" s="541" t="s">
        <v>804</v>
      </c>
      <c r="C188" s="232">
        <v>0</v>
      </c>
      <c r="D188" s="232">
        <f t="shared" ref="D188:D196" si="57">SUM(E188:P188)</f>
        <v>0</v>
      </c>
      <c r="E188" s="545">
        <v>0</v>
      </c>
      <c r="F188" s="548">
        <v>0</v>
      </c>
      <c r="G188" s="545">
        <v>0</v>
      </c>
      <c r="H188" s="545">
        <v>0</v>
      </c>
      <c r="I188" s="545"/>
      <c r="J188" s="232"/>
      <c r="K188" s="232"/>
      <c r="L188" s="232"/>
      <c r="M188" s="236"/>
      <c r="N188" s="232"/>
      <c r="O188" s="232"/>
      <c r="P188" s="232"/>
      <c r="Q188" s="232">
        <f t="shared" ref="Q188:Q196" si="58">C188+D188</f>
        <v>0</v>
      </c>
      <c r="R188" s="232">
        <v>0</v>
      </c>
      <c r="S188" s="232">
        <f t="shared" si="37"/>
        <v>0</v>
      </c>
      <c r="T188" s="534">
        <f t="shared" si="36"/>
        <v>0</v>
      </c>
      <c r="U188" s="564"/>
      <c r="V188" s="565"/>
    </row>
    <row r="189" s="214" customFormat="1" ht="16.9" customHeight="1" spans="1:22">
      <c r="A189" s="335" t="s">
        <v>805</v>
      </c>
      <c r="B189" s="541" t="s">
        <v>806</v>
      </c>
      <c r="C189" s="232">
        <v>0</v>
      </c>
      <c r="D189" s="232">
        <f t="shared" si="57"/>
        <v>0</v>
      </c>
      <c r="E189" s="545">
        <v>0</v>
      </c>
      <c r="F189" s="548">
        <v>0</v>
      </c>
      <c r="G189" s="545">
        <v>0</v>
      </c>
      <c r="H189" s="545">
        <v>0</v>
      </c>
      <c r="I189" s="545"/>
      <c r="J189" s="232"/>
      <c r="K189" s="232"/>
      <c r="L189" s="232"/>
      <c r="M189" s="236"/>
      <c r="N189" s="232"/>
      <c r="O189" s="232"/>
      <c r="P189" s="232"/>
      <c r="Q189" s="232">
        <f t="shared" si="58"/>
        <v>0</v>
      </c>
      <c r="R189" s="232">
        <v>0</v>
      </c>
      <c r="S189" s="232">
        <f t="shared" si="37"/>
        <v>0</v>
      </c>
      <c r="T189" s="534">
        <f t="shared" si="36"/>
        <v>0</v>
      </c>
      <c r="U189" s="564"/>
      <c r="V189" s="565"/>
    </row>
    <row r="190" s="214" customFormat="1" ht="16.9" customHeight="1" spans="1:22">
      <c r="A190" s="335" t="s">
        <v>807</v>
      </c>
      <c r="B190" s="541" t="s">
        <v>808</v>
      </c>
      <c r="C190" s="232">
        <v>0</v>
      </c>
      <c r="D190" s="232">
        <f t="shared" si="57"/>
        <v>0</v>
      </c>
      <c r="E190" s="545">
        <v>0</v>
      </c>
      <c r="F190" s="548">
        <v>0</v>
      </c>
      <c r="G190" s="545">
        <v>0</v>
      </c>
      <c r="H190" s="545">
        <v>0</v>
      </c>
      <c r="I190" s="545"/>
      <c r="J190" s="232"/>
      <c r="K190" s="232"/>
      <c r="L190" s="232"/>
      <c r="M190" s="236"/>
      <c r="N190" s="232"/>
      <c r="O190" s="232"/>
      <c r="P190" s="232"/>
      <c r="Q190" s="232">
        <f t="shared" si="58"/>
        <v>0</v>
      </c>
      <c r="R190" s="232">
        <v>0</v>
      </c>
      <c r="S190" s="232">
        <f t="shared" si="37"/>
        <v>0</v>
      </c>
      <c r="T190" s="534">
        <f t="shared" si="36"/>
        <v>0</v>
      </c>
      <c r="U190" s="564"/>
      <c r="V190" s="565"/>
    </row>
    <row r="191" s="214" customFormat="1" ht="16.9" customHeight="1" spans="1:22">
      <c r="A191" s="335" t="s">
        <v>809</v>
      </c>
      <c r="B191" s="541" t="s">
        <v>810</v>
      </c>
      <c r="C191" s="232">
        <v>0</v>
      </c>
      <c r="D191" s="232">
        <f t="shared" si="57"/>
        <v>0</v>
      </c>
      <c r="E191" s="545">
        <v>0</v>
      </c>
      <c r="F191" s="548">
        <v>0</v>
      </c>
      <c r="G191" s="545">
        <v>0</v>
      </c>
      <c r="H191" s="545">
        <v>0</v>
      </c>
      <c r="I191" s="545"/>
      <c r="J191" s="232"/>
      <c r="K191" s="232"/>
      <c r="L191" s="232"/>
      <c r="M191" s="236"/>
      <c r="N191" s="232"/>
      <c r="O191" s="232"/>
      <c r="P191" s="232"/>
      <c r="Q191" s="232">
        <f t="shared" si="58"/>
        <v>0</v>
      </c>
      <c r="R191" s="232">
        <v>0</v>
      </c>
      <c r="S191" s="232">
        <f t="shared" si="37"/>
        <v>0</v>
      </c>
      <c r="T191" s="534">
        <f t="shared" si="36"/>
        <v>0</v>
      </c>
      <c r="U191" s="564"/>
      <c r="V191" s="565"/>
    </row>
    <row r="192" s="214" customFormat="1" ht="16.9" customHeight="1" spans="1:22">
      <c r="A192" s="335" t="s">
        <v>811</v>
      </c>
      <c r="B192" s="541" t="s">
        <v>812</v>
      </c>
      <c r="C192" s="232">
        <v>0</v>
      </c>
      <c r="D192" s="232">
        <f t="shared" si="57"/>
        <v>0</v>
      </c>
      <c r="E192" s="545">
        <v>0</v>
      </c>
      <c r="F192" s="548">
        <v>0</v>
      </c>
      <c r="G192" s="545">
        <v>0</v>
      </c>
      <c r="H192" s="545">
        <v>0</v>
      </c>
      <c r="I192" s="545"/>
      <c r="J192" s="232"/>
      <c r="K192" s="232"/>
      <c r="L192" s="232"/>
      <c r="M192" s="236"/>
      <c r="N192" s="232"/>
      <c r="O192" s="232"/>
      <c r="P192" s="232"/>
      <c r="Q192" s="232">
        <f t="shared" si="58"/>
        <v>0</v>
      </c>
      <c r="R192" s="232">
        <v>0</v>
      </c>
      <c r="S192" s="232">
        <f t="shared" si="37"/>
        <v>0</v>
      </c>
      <c r="T192" s="534">
        <f t="shared" si="36"/>
        <v>0</v>
      </c>
      <c r="U192" s="564"/>
      <c r="V192" s="565"/>
    </row>
    <row r="193" s="214" customFormat="1" ht="16.9" customHeight="1" spans="1:22">
      <c r="A193" s="335" t="s">
        <v>813</v>
      </c>
      <c r="B193" s="541" t="s">
        <v>743</v>
      </c>
      <c r="C193" s="232">
        <v>0</v>
      </c>
      <c r="D193" s="232">
        <f t="shared" si="57"/>
        <v>0</v>
      </c>
      <c r="E193" s="545">
        <v>0</v>
      </c>
      <c r="F193" s="548">
        <v>0</v>
      </c>
      <c r="G193" s="545">
        <v>0</v>
      </c>
      <c r="H193" s="545">
        <v>0</v>
      </c>
      <c r="I193" s="545"/>
      <c r="J193" s="232"/>
      <c r="K193" s="232"/>
      <c r="L193" s="232"/>
      <c r="M193" s="236"/>
      <c r="N193" s="232"/>
      <c r="O193" s="232"/>
      <c r="P193" s="232"/>
      <c r="Q193" s="232">
        <f t="shared" si="58"/>
        <v>0</v>
      </c>
      <c r="R193" s="232">
        <v>0</v>
      </c>
      <c r="S193" s="232">
        <f t="shared" si="37"/>
        <v>0</v>
      </c>
      <c r="T193" s="534">
        <f t="shared" si="36"/>
        <v>0</v>
      </c>
      <c r="U193" s="564"/>
      <c r="V193" s="565"/>
    </row>
    <row r="194" s="214" customFormat="1" ht="16.9" customHeight="1" spans="1:22">
      <c r="A194" s="335" t="s">
        <v>814</v>
      </c>
      <c r="B194" s="541" t="s">
        <v>815</v>
      </c>
      <c r="C194" s="232">
        <v>0</v>
      </c>
      <c r="D194" s="232">
        <f t="shared" si="57"/>
        <v>0</v>
      </c>
      <c r="E194" s="545">
        <v>0</v>
      </c>
      <c r="F194" s="548">
        <v>0</v>
      </c>
      <c r="G194" s="545">
        <v>0</v>
      </c>
      <c r="H194" s="545">
        <v>0</v>
      </c>
      <c r="I194" s="545"/>
      <c r="J194" s="232"/>
      <c r="K194" s="232"/>
      <c r="L194" s="232"/>
      <c r="M194" s="236"/>
      <c r="N194" s="232"/>
      <c r="O194" s="232"/>
      <c r="P194" s="232"/>
      <c r="Q194" s="232">
        <f t="shared" si="58"/>
        <v>0</v>
      </c>
      <c r="R194" s="232">
        <v>0</v>
      </c>
      <c r="S194" s="232">
        <f t="shared" si="37"/>
        <v>0</v>
      </c>
      <c r="T194" s="534">
        <f t="shared" si="36"/>
        <v>0</v>
      </c>
      <c r="U194" s="564"/>
      <c r="V194" s="565"/>
    </row>
    <row r="195" s="214" customFormat="1" ht="16.9" customHeight="1" spans="1:22">
      <c r="A195" s="335" t="s">
        <v>816</v>
      </c>
      <c r="B195" s="541" t="s">
        <v>817</v>
      </c>
      <c r="C195" s="232">
        <v>0</v>
      </c>
      <c r="D195" s="232">
        <f t="shared" si="57"/>
        <v>0</v>
      </c>
      <c r="E195" s="545">
        <v>0</v>
      </c>
      <c r="F195" s="548">
        <v>0</v>
      </c>
      <c r="G195" s="545">
        <v>0</v>
      </c>
      <c r="H195" s="545">
        <v>0</v>
      </c>
      <c r="I195" s="545"/>
      <c r="J195" s="232"/>
      <c r="K195" s="232"/>
      <c r="L195" s="232"/>
      <c r="M195" s="236"/>
      <c r="N195" s="232"/>
      <c r="O195" s="232"/>
      <c r="P195" s="232"/>
      <c r="Q195" s="232">
        <f t="shared" si="58"/>
        <v>0</v>
      </c>
      <c r="R195" s="232">
        <v>0</v>
      </c>
      <c r="S195" s="232">
        <f t="shared" si="37"/>
        <v>0</v>
      </c>
      <c r="T195" s="534">
        <f t="shared" si="36"/>
        <v>0</v>
      </c>
      <c r="U195" s="564"/>
      <c r="V195" s="565"/>
    </row>
    <row r="196" s="214" customFormat="1" ht="16.9" customHeight="1" spans="1:22">
      <c r="A196" s="335" t="s">
        <v>818</v>
      </c>
      <c r="B196" s="541" t="s">
        <v>819</v>
      </c>
      <c r="C196" s="232">
        <v>0</v>
      </c>
      <c r="D196" s="232">
        <f t="shared" si="57"/>
        <v>0</v>
      </c>
      <c r="E196" s="545">
        <v>0</v>
      </c>
      <c r="F196" s="548">
        <v>0</v>
      </c>
      <c r="G196" s="545">
        <v>0</v>
      </c>
      <c r="H196" s="545">
        <v>0</v>
      </c>
      <c r="I196" s="545"/>
      <c r="J196" s="232"/>
      <c r="K196" s="232"/>
      <c r="L196" s="232"/>
      <c r="M196" s="236"/>
      <c r="N196" s="232"/>
      <c r="O196" s="232"/>
      <c r="P196" s="232"/>
      <c r="Q196" s="232">
        <f t="shared" si="58"/>
        <v>0</v>
      </c>
      <c r="R196" s="232">
        <v>0</v>
      </c>
      <c r="S196" s="232">
        <f t="shared" si="37"/>
        <v>0</v>
      </c>
      <c r="T196" s="534">
        <f t="shared" si="36"/>
        <v>0</v>
      </c>
      <c r="U196" s="564"/>
      <c r="V196" s="565"/>
    </row>
    <row r="197" s="518" customFormat="1" ht="16.9" customHeight="1" spans="1:22">
      <c r="A197" s="535" t="s">
        <v>820</v>
      </c>
      <c r="B197" s="535" t="s">
        <v>821</v>
      </c>
      <c r="C197" s="536">
        <f t="shared" ref="C197:R197" si="59">SUM(C198:C200)</f>
        <v>974</v>
      </c>
      <c r="D197" s="536">
        <f t="shared" si="59"/>
        <v>287</v>
      </c>
      <c r="E197" s="536">
        <f t="shared" si="59"/>
        <v>159</v>
      </c>
      <c r="F197" s="536">
        <f t="shared" si="59"/>
        <v>0</v>
      </c>
      <c r="G197" s="536">
        <f t="shared" si="59"/>
        <v>41</v>
      </c>
      <c r="H197" s="536">
        <f t="shared" si="59"/>
        <v>0</v>
      </c>
      <c r="I197" s="536">
        <f t="shared" si="59"/>
        <v>573</v>
      </c>
      <c r="J197" s="536">
        <f t="shared" si="59"/>
        <v>-511</v>
      </c>
      <c r="K197" s="536">
        <f t="shared" si="59"/>
        <v>0</v>
      </c>
      <c r="L197" s="536">
        <f t="shared" si="59"/>
        <v>0</v>
      </c>
      <c r="M197" s="536">
        <f t="shared" si="59"/>
        <v>0</v>
      </c>
      <c r="N197" s="536">
        <f t="shared" si="59"/>
        <v>0</v>
      </c>
      <c r="O197" s="536">
        <f t="shared" si="59"/>
        <v>-14</v>
      </c>
      <c r="P197" s="536">
        <f t="shared" si="59"/>
        <v>39</v>
      </c>
      <c r="Q197" s="536">
        <f t="shared" si="59"/>
        <v>1261</v>
      </c>
      <c r="R197" s="536">
        <f t="shared" si="59"/>
        <v>1098</v>
      </c>
      <c r="S197" s="536">
        <f t="shared" si="37"/>
        <v>163</v>
      </c>
      <c r="T197" s="536">
        <f t="shared" si="36"/>
        <v>163</v>
      </c>
      <c r="U197" s="562"/>
      <c r="V197" s="563"/>
    </row>
    <row r="198" s="214" customFormat="1" ht="16.9" customHeight="1" spans="1:22">
      <c r="A198" s="335" t="s">
        <v>822</v>
      </c>
      <c r="B198" s="539" t="s">
        <v>823</v>
      </c>
      <c r="C198" s="236">
        <v>888</v>
      </c>
      <c r="D198" s="232">
        <f t="shared" ref="D198:D200" si="60">SUM(E198:P198)</f>
        <v>308</v>
      </c>
      <c r="E198" s="545">
        <v>159</v>
      </c>
      <c r="F198" s="548"/>
      <c r="G198" s="545">
        <v>41</v>
      </c>
      <c r="H198" s="545"/>
      <c r="I198" s="236">
        <v>573</v>
      </c>
      <c r="J198" s="548">
        <v>-490</v>
      </c>
      <c r="K198" s="232"/>
      <c r="L198" s="232"/>
      <c r="M198" s="236"/>
      <c r="N198" s="232"/>
      <c r="O198" s="232">
        <v>-14</v>
      </c>
      <c r="P198" s="236">
        <v>39</v>
      </c>
      <c r="Q198" s="232">
        <f t="shared" ref="Q198:Q200" si="61">C198+D198</f>
        <v>1196</v>
      </c>
      <c r="R198" s="232">
        <v>1033</v>
      </c>
      <c r="S198" s="232">
        <f t="shared" si="37"/>
        <v>163</v>
      </c>
      <c r="T198" s="534">
        <f t="shared" si="36"/>
        <v>163</v>
      </c>
      <c r="U198" s="564"/>
      <c r="V198" s="565"/>
    </row>
    <row r="199" s="214" customFormat="1" ht="16.9" customHeight="1" spans="1:22">
      <c r="A199" s="335" t="s">
        <v>824</v>
      </c>
      <c r="B199" s="539" t="s">
        <v>825</v>
      </c>
      <c r="C199" s="236">
        <v>86</v>
      </c>
      <c r="D199" s="232">
        <f t="shared" si="60"/>
        <v>-21</v>
      </c>
      <c r="E199" s="545"/>
      <c r="F199" s="548"/>
      <c r="G199" s="545"/>
      <c r="H199" s="545"/>
      <c r="I199" s="545"/>
      <c r="J199" s="548">
        <v>-21</v>
      </c>
      <c r="K199" s="232"/>
      <c r="L199" s="232"/>
      <c r="M199" s="236"/>
      <c r="N199" s="232"/>
      <c r="O199" s="232"/>
      <c r="P199" s="232"/>
      <c r="Q199" s="232">
        <f t="shared" si="61"/>
        <v>65</v>
      </c>
      <c r="R199" s="232">
        <v>65</v>
      </c>
      <c r="S199" s="232">
        <f t="shared" si="37"/>
        <v>0</v>
      </c>
      <c r="T199" s="534">
        <f t="shared" si="36"/>
        <v>0</v>
      </c>
      <c r="U199" s="564"/>
      <c r="V199" s="565"/>
    </row>
    <row r="200" s="214" customFormat="1" ht="16.9" customHeight="1" spans="1:22">
      <c r="A200" s="335" t="s">
        <v>826</v>
      </c>
      <c r="B200" s="539" t="s">
        <v>827</v>
      </c>
      <c r="C200" s="540"/>
      <c r="D200" s="232">
        <f t="shared" si="60"/>
        <v>0</v>
      </c>
      <c r="E200" s="545"/>
      <c r="F200" s="548"/>
      <c r="G200" s="545"/>
      <c r="H200" s="545"/>
      <c r="I200" s="545"/>
      <c r="J200" s="232"/>
      <c r="K200" s="232"/>
      <c r="L200" s="232"/>
      <c r="M200" s="236"/>
      <c r="N200" s="573"/>
      <c r="O200" s="232"/>
      <c r="P200" s="232"/>
      <c r="Q200" s="232">
        <f t="shared" si="61"/>
        <v>0</v>
      </c>
      <c r="R200" s="232"/>
      <c r="S200" s="232">
        <f t="shared" si="37"/>
        <v>0</v>
      </c>
      <c r="T200" s="534">
        <f t="shared" ref="T200:T233" si="62">S200</f>
        <v>0</v>
      </c>
      <c r="U200" s="564"/>
      <c r="V200" s="565"/>
    </row>
    <row r="201" s="518" customFormat="1" ht="16.9" customHeight="1" spans="1:22">
      <c r="A201" s="535" t="s">
        <v>828</v>
      </c>
      <c r="B201" s="535" t="s">
        <v>829</v>
      </c>
      <c r="C201" s="536">
        <f t="shared" ref="C201:R201" si="63">SUM(C202:C204)</f>
        <v>4831</v>
      </c>
      <c r="D201" s="536">
        <f t="shared" si="63"/>
        <v>3964</v>
      </c>
      <c r="E201" s="536">
        <f t="shared" si="63"/>
        <v>360</v>
      </c>
      <c r="F201" s="536">
        <f t="shared" si="63"/>
        <v>3895</v>
      </c>
      <c r="G201" s="536">
        <f t="shared" si="63"/>
        <v>0</v>
      </c>
      <c r="H201" s="536">
        <f t="shared" si="63"/>
        <v>0</v>
      </c>
      <c r="I201" s="536">
        <f t="shared" si="63"/>
        <v>0</v>
      </c>
      <c r="J201" s="536">
        <f t="shared" si="63"/>
        <v>0</v>
      </c>
      <c r="K201" s="536">
        <f t="shared" si="63"/>
        <v>0</v>
      </c>
      <c r="L201" s="536">
        <f t="shared" si="63"/>
        <v>0</v>
      </c>
      <c r="M201" s="536">
        <f t="shared" si="63"/>
        <v>19</v>
      </c>
      <c r="N201" s="536">
        <f t="shared" si="63"/>
        <v>0</v>
      </c>
      <c r="O201" s="536">
        <f t="shared" si="63"/>
        <v>-252</v>
      </c>
      <c r="P201" s="536">
        <f t="shared" si="63"/>
        <v>-58</v>
      </c>
      <c r="Q201" s="536">
        <f t="shared" si="63"/>
        <v>8795</v>
      </c>
      <c r="R201" s="536">
        <f t="shared" si="63"/>
        <v>8436</v>
      </c>
      <c r="S201" s="536">
        <f t="shared" ref="S201:S221" si="64">Q201-R201</f>
        <v>359</v>
      </c>
      <c r="T201" s="536">
        <f t="shared" si="62"/>
        <v>359</v>
      </c>
      <c r="U201" s="562"/>
      <c r="V201" s="563"/>
    </row>
    <row r="202" s="214" customFormat="1" ht="16.9" customHeight="1" spans="1:22">
      <c r="A202" s="335" t="s">
        <v>830</v>
      </c>
      <c r="B202" s="541" t="s">
        <v>831</v>
      </c>
      <c r="C202" s="540">
        <v>920</v>
      </c>
      <c r="D202" s="232">
        <f t="shared" ref="D202:D204" si="65">SUM(E202:P202)</f>
        <v>229</v>
      </c>
      <c r="E202" s="545">
        <v>360</v>
      </c>
      <c r="F202" s="548">
        <v>160</v>
      </c>
      <c r="G202" s="545"/>
      <c r="H202" s="545"/>
      <c r="I202" s="545"/>
      <c r="J202" s="232">
        <v>-252</v>
      </c>
      <c r="K202" s="232"/>
      <c r="L202" s="232"/>
      <c r="M202" s="236">
        <v>19</v>
      </c>
      <c r="N202" s="232"/>
      <c r="O202" s="232"/>
      <c r="P202" s="236">
        <v>-58</v>
      </c>
      <c r="Q202" s="232">
        <f t="shared" ref="Q202:Q204" si="66">C202+D202</f>
        <v>1149</v>
      </c>
      <c r="R202" s="232">
        <v>790</v>
      </c>
      <c r="S202" s="232">
        <f t="shared" si="64"/>
        <v>359</v>
      </c>
      <c r="T202" s="534">
        <f t="shared" si="62"/>
        <v>359</v>
      </c>
      <c r="U202" s="564"/>
      <c r="V202" s="565"/>
    </row>
    <row r="203" s="214" customFormat="1" ht="17" customHeight="1" spans="1:22">
      <c r="A203" s="335" t="s">
        <v>832</v>
      </c>
      <c r="B203" s="541" t="s">
        <v>833</v>
      </c>
      <c r="C203" s="540">
        <v>3911</v>
      </c>
      <c r="D203" s="232">
        <f t="shared" si="65"/>
        <v>3735</v>
      </c>
      <c r="E203" s="545"/>
      <c r="F203" s="548">
        <v>3735</v>
      </c>
      <c r="G203" s="545"/>
      <c r="H203" s="545"/>
      <c r="I203" s="545"/>
      <c r="J203" s="232">
        <v>252</v>
      </c>
      <c r="K203" s="232"/>
      <c r="L203" s="232"/>
      <c r="M203" s="236"/>
      <c r="N203" s="232"/>
      <c r="O203" s="232">
        <v>-252</v>
      </c>
      <c r="P203" s="232"/>
      <c r="Q203" s="232">
        <f t="shared" si="66"/>
        <v>7646</v>
      </c>
      <c r="R203" s="232">
        <v>7646</v>
      </c>
      <c r="S203" s="232">
        <f t="shared" si="64"/>
        <v>0</v>
      </c>
      <c r="T203" s="534">
        <f t="shared" si="62"/>
        <v>0</v>
      </c>
      <c r="U203" s="564"/>
      <c r="V203" s="565"/>
    </row>
    <row r="204" s="214" customFormat="1" ht="16.9" customHeight="1" spans="1:22">
      <c r="A204" s="335" t="s">
        <v>834</v>
      </c>
      <c r="B204" s="541" t="s">
        <v>835</v>
      </c>
      <c r="C204" s="540"/>
      <c r="D204" s="232">
        <f t="shared" si="65"/>
        <v>0</v>
      </c>
      <c r="E204" s="545"/>
      <c r="F204" s="548"/>
      <c r="G204" s="545"/>
      <c r="H204" s="545"/>
      <c r="I204" s="545"/>
      <c r="J204" s="232"/>
      <c r="K204" s="232"/>
      <c r="L204" s="232"/>
      <c r="M204" s="236"/>
      <c r="N204" s="232"/>
      <c r="O204" s="232"/>
      <c r="P204" s="232"/>
      <c r="Q204" s="232">
        <f t="shared" si="66"/>
        <v>0</v>
      </c>
      <c r="R204" s="232"/>
      <c r="S204" s="232">
        <f t="shared" si="64"/>
        <v>0</v>
      </c>
      <c r="T204" s="534">
        <f t="shared" si="62"/>
        <v>0</v>
      </c>
      <c r="U204" s="564"/>
      <c r="V204" s="565"/>
    </row>
    <row r="205" s="518" customFormat="1" ht="16.9" customHeight="1" spans="1:22">
      <c r="A205" s="535" t="s">
        <v>836</v>
      </c>
      <c r="B205" s="535" t="s">
        <v>837</v>
      </c>
      <c r="C205" s="536">
        <f t="shared" ref="C205:R205" si="67">SUM(C206:C209)</f>
        <v>97</v>
      </c>
      <c r="D205" s="536">
        <f t="shared" si="67"/>
        <v>15</v>
      </c>
      <c r="E205" s="536">
        <f t="shared" si="67"/>
        <v>0</v>
      </c>
      <c r="F205" s="536">
        <f t="shared" si="67"/>
        <v>0</v>
      </c>
      <c r="G205" s="536">
        <f t="shared" si="67"/>
        <v>0</v>
      </c>
      <c r="H205" s="536">
        <f t="shared" si="67"/>
        <v>0</v>
      </c>
      <c r="I205" s="536">
        <f t="shared" si="67"/>
        <v>0</v>
      </c>
      <c r="J205" s="536">
        <f t="shared" si="67"/>
        <v>-81</v>
      </c>
      <c r="K205" s="536">
        <f t="shared" si="67"/>
        <v>0</v>
      </c>
      <c r="L205" s="536">
        <f t="shared" si="67"/>
        <v>96</v>
      </c>
      <c r="M205" s="536">
        <f t="shared" si="67"/>
        <v>0</v>
      </c>
      <c r="N205" s="536">
        <f t="shared" si="67"/>
        <v>0</v>
      </c>
      <c r="O205" s="536">
        <f t="shared" si="67"/>
        <v>0</v>
      </c>
      <c r="P205" s="536">
        <f t="shared" si="67"/>
        <v>0</v>
      </c>
      <c r="Q205" s="536">
        <f t="shared" si="67"/>
        <v>112</v>
      </c>
      <c r="R205" s="536">
        <f t="shared" si="67"/>
        <v>112</v>
      </c>
      <c r="S205" s="536">
        <f t="shared" si="64"/>
        <v>0</v>
      </c>
      <c r="T205" s="536">
        <f t="shared" si="62"/>
        <v>0</v>
      </c>
      <c r="U205" s="562"/>
      <c r="V205" s="563"/>
    </row>
    <row r="206" s="214" customFormat="1" ht="17.25" customHeight="1" spans="1:22">
      <c r="A206" s="335" t="s">
        <v>838</v>
      </c>
      <c r="B206" s="541" t="s">
        <v>839</v>
      </c>
      <c r="C206" s="540">
        <v>97</v>
      </c>
      <c r="D206" s="232">
        <f t="shared" ref="D206:D209" si="68">SUM(E206:P206)</f>
        <v>15</v>
      </c>
      <c r="E206" s="545"/>
      <c r="F206" s="548"/>
      <c r="G206" s="545">
        <v>0</v>
      </c>
      <c r="H206" s="545"/>
      <c r="I206" s="545"/>
      <c r="J206" s="548">
        <v>-81</v>
      </c>
      <c r="K206" s="232"/>
      <c r="L206" s="232">
        <v>96</v>
      </c>
      <c r="M206" s="236"/>
      <c r="N206" s="232"/>
      <c r="O206" s="232"/>
      <c r="P206" s="232">
        <v>0</v>
      </c>
      <c r="Q206" s="232">
        <f t="shared" ref="Q206:Q209" si="69">C206+D206</f>
        <v>112</v>
      </c>
      <c r="R206" s="232">
        <v>112</v>
      </c>
      <c r="S206" s="232">
        <f t="shared" si="64"/>
        <v>0</v>
      </c>
      <c r="T206" s="534">
        <f t="shared" si="62"/>
        <v>0</v>
      </c>
      <c r="U206" s="564"/>
      <c r="V206" s="565"/>
    </row>
    <row r="207" s="214" customFormat="1" ht="17.25" customHeight="1" spans="1:22">
      <c r="A207" s="335" t="s">
        <v>840</v>
      </c>
      <c r="B207" s="541" t="s">
        <v>841</v>
      </c>
      <c r="C207" s="540"/>
      <c r="D207" s="232">
        <f t="shared" si="68"/>
        <v>0</v>
      </c>
      <c r="E207" s="545">
        <v>0</v>
      </c>
      <c r="F207" s="548">
        <v>0</v>
      </c>
      <c r="G207" s="545">
        <v>0</v>
      </c>
      <c r="H207" s="545">
        <v>0</v>
      </c>
      <c r="I207" s="545"/>
      <c r="J207" s="232"/>
      <c r="K207" s="232"/>
      <c r="L207" s="232"/>
      <c r="M207" s="236"/>
      <c r="N207" s="232"/>
      <c r="O207" s="232"/>
      <c r="P207" s="232">
        <v>0</v>
      </c>
      <c r="Q207" s="232">
        <f t="shared" si="69"/>
        <v>0</v>
      </c>
      <c r="R207" s="232"/>
      <c r="S207" s="232">
        <f t="shared" si="64"/>
        <v>0</v>
      </c>
      <c r="T207" s="534">
        <f t="shared" si="62"/>
        <v>0</v>
      </c>
      <c r="U207" s="564"/>
      <c r="V207" s="565"/>
    </row>
    <row r="208" s="214" customFormat="1" ht="17.25" customHeight="1" spans="1:22">
      <c r="A208" s="335" t="s">
        <v>842</v>
      </c>
      <c r="B208" s="541" t="s">
        <v>843</v>
      </c>
      <c r="C208" s="540"/>
      <c r="D208" s="232">
        <f t="shared" si="68"/>
        <v>0</v>
      </c>
      <c r="E208" s="545">
        <v>0</v>
      </c>
      <c r="F208" s="548">
        <v>0</v>
      </c>
      <c r="G208" s="545">
        <v>0</v>
      </c>
      <c r="H208" s="545"/>
      <c r="I208" s="545"/>
      <c r="J208" s="232"/>
      <c r="K208" s="232"/>
      <c r="L208" s="232"/>
      <c r="M208" s="236"/>
      <c r="N208" s="547"/>
      <c r="O208" s="232"/>
      <c r="P208" s="232">
        <v>0</v>
      </c>
      <c r="Q208" s="232">
        <f t="shared" si="69"/>
        <v>0</v>
      </c>
      <c r="R208" s="232"/>
      <c r="S208" s="232">
        <f t="shared" si="64"/>
        <v>0</v>
      </c>
      <c r="T208" s="534">
        <f t="shared" si="62"/>
        <v>0</v>
      </c>
      <c r="U208" s="564"/>
      <c r="V208" s="565"/>
    </row>
    <row r="209" s="214" customFormat="1" ht="17.25" customHeight="1" spans="1:22">
      <c r="A209" s="335" t="s">
        <v>844</v>
      </c>
      <c r="B209" s="541" t="s">
        <v>845</v>
      </c>
      <c r="C209" s="540"/>
      <c r="D209" s="232">
        <f t="shared" si="68"/>
        <v>0</v>
      </c>
      <c r="E209" s="545">
        <v>0</v>
      </c>
      <c r="F209" s="548">
        <v>0</v>
      </c>
      <c r="G209" s="545">
        <v>0</v>
      </c>
      <c r="H209" s="545"/>
      <c r="I209" s="545"/>
      <c r="J209" s="232"/>
      <c r="K209" s="232"/>
      <c r="L209" s="232"/>
      <c r="M209" s="236"/>
      <c r="N209" s="232"/>
      <c r="O209" s="232"/>
      <c r="P209" s="232">
        <v>0</v>
      </c>
      <c r="Q209" s="232">
        <f t="shared" si="69"/>
        <v>0</v>
      </c>
      <c r="R209" s="232">
        <v>0</v>
      </c>
      <c r="S209" s="232">
        <f t="shared" si="64"/>
        <v>0</v>
      </c>
      <c r="T209" s="534">
        <f t="shared" si="62"/>
        <v>0</v>
      </c>
      <c r="U209" s="564"/>
      <c r="V209" s="565"/>
    </row>
    <row r="210" s="518" customFormat="1" ht="16.9" customHeight="1" spans="1:22">
      <c r="A210" s="535" t="s">
        <v>846</v>
      </c>
      <c r="B210" s="535" t="s">
        <v>459</v>
      </c>
      <c r="C210" s="536">
        <f t="shared" ref="C210:R210" si="70">SUM(C211:C217)</f>
        <v>3285</v>
      </c>
      <c r="D210" s="536">
        <f t="shared" si="70"/>
        <v>302</v>
      </c>
      <c r="E210" s="536">
        <f t="shared" si="70"/>
        <v>1380</v>
      </c>
      <c r="F210" s="536">
        <f t="shared" si="70"/>
        <v>0</v>
      </c>
      <c r="G210" s="536">
        <f t="shared" si="70"/>
        <v>0</v>
      </c>
      <c r="H210" s="536">
        <f t="shared" si="70"/>
        <v>0</v>
      </c>
      <c r="I210" s="536">
        <f t="shared" si="70"/>
        <v>63</v>
      </c>
      <c r="J210" s="536">
        <f t="shared" si="70"/>
        <v>-1141</v>
      </c>
      <c r="K210" s="536">
        <f t="shared" si="70"/>
        <v>0</v>
      </c>
      <c r="L210" s="536">
        <f t="shared" si="70"/>
        <v>0</v>
      </c>
      <c r="M210" s="536">
        <f t="shared" si="70"/>
        <v>916</v>
      </c>
      <c r="N210" s="536">
        <f t="shared" si="70"/>
        <v>0</v>
      </c>
      <c r="O210" s="536">
        <f t="shared" si="70"/>
        <v>0</v>
      </c>
      <c r="P210" s="536">
        <f t="shared" si="70"/>
        <v>-916</v>
      </c>
      <c r="Q210" s="536">
        <f t="shared" si="70"/>
        <v>3587</v>
      </c>
      <c r="R210" s="536">
        <f t="shared" si="70"/>
        <v>2480</v>
      </c>
      <c r="S210" s="536">
        <f t="shared" si="64"/>
        <v>1107</v>
      </c>
      <c r="T210" s="536">
        <f t="shared" si="62"/>
        <v>1107</v>
      </c>
      <c r="U210" s="562"/>
      <c r="V210" s="563"/>
    </row>
    <row r="211" s="214" customFormat="1" ht="17.25" customHeight="1" spans="1:22">
      <c r="A211" s="335" t="s">
        <v>847</v>
      </c>
      <c r="B211" s="541" t="s">
        <v>460</v>
      </c>
      <c r="C211" s="236">
        <v>467</v>
      </c>
      <c r="D211" s="232">
        <f t="shared" ref="D211:D229" si="71">SUM(E211:P211)</f>
        <v>32</v>
      </c>
      <c r="E211" s="545">
        <v>25</v>
      </c>
      <c r="F211" s="548"/>
      <c r="G211" s="545"/>
      <c r="H211" s="545"/>
      <c r="I211" s="236">
        <v>43</v>
      </c>
      <c r="J211" s="548">
        <v>-36</v>
      </c>
      <c r="K211" s="232"/>
      <c r="L211" s="232"/>
      <c r="M211" s="236"/>
      <c r="N211" s="232"/>
      <c r="O211" s="232"/>
      <c r="P211" s="232"/>
      <c r="Q211" s="232">
        <f t="shared" ref="Q211:Q218" si="72">C211+D211</f>
        <v>499</v>
      </c>
      <c r="R211" s="232">
        <v>474</v>
      </c>
      <c r="S211" s="232">
        <f t="shared" si="64"/>
        <v>25</v>
      </c>
      <c r="T211" s="534">
        <f t="shared" si="62"/>
        <v>25</v>
      </c>
      <c r="U211" s="564"/>
      <c r="V211" s="565"/>
    </row>
    <row r="212" s="214" customFormat="1" ht="17.25" customHeight="1" spans="1:22">
      <c r="A212" s="335" t="s">
        <v>848</v>
      </c>
      <c r="B212" s="541" t="s">
        <v>461</v>
      </c>
      <c r="C212" s="236">
        <v>908</v>
      </c>
      <c r="D212" s="232">
        <f t="shared" si="71"/>
        <v>53</v>
      </c>
      <c r="E212" s="545"/>
      <c r="F212" s="548"/>
      <c r="G212" s="545"/>
      <c r="H212" s="545"/>
      <c r="I212" s="236">
        <v>20</v>
      </c>
      <c r="J212" s="232">
        <v>33</v>
      </c>
      <c r="K212" s="232"/>
      <c r="L212" s="232"/>
      <c r="M212" s="236"/>
      <c r="N212" s="232"/>
      <c r="O212" s="232"/>
      <c r="P212" s="232"/>
      <c r="Q212" s="232">
        <f t="shared" si="72"/>
        <v>961</v>
      </c>
      <c r="R212" s="232">
        <v>961</v>
      </c>
      <c r="S212" s="232">
        <f t="shared" si="64"/>
        <v>0</v>
      </c>
      <c r="T212" s="534">
        <f t="shared" si="62"/>
        <v>0</v>
      </c>
      <c r="U212" s="564"/>
      <c r="V212" s="565"/>
    </row>
    <row r="213" s="214" customFormat="1" ht="17.25" customHeight="1" spans="1:22">
      <c r="A213" s="335" t="s">
        <v>849</v>
      </c>
      <c r="B213" s="541" t="s">
        <v>850</v>
      </c>
      <c r="C213" s="236">
        <v>0</v>
      </c>
      <c r="D213" s="232">
        <f t="shared" si="71"/>
        <v>0</v>
      </c>
      <c r="E213" s="545"/>
      <c r="F213" s="548">
        <v>0</v>
      </c>
      <c r="G213" s="545"/>
      <c r="H213" s="545"/>
      <c r="I213" s="545"/>
      <c r="J213" s="232"/>
      <c r="K213" s="232"/>
      <c r="L213" s="232"/>
      <c r="M213" s="236"/>
      <c r="N213" s="232"/>
      <c r="O213" s="232"/>
      <c r="P213" s="232"/>
      <c r="Q213" s="232">
        <f t="shared" si="72"/>
        <v>0</v>
      </c>
      <c r="R213" s="232"/>
      <c r="S213" s="232">
        <f t="shared" si="64"/>
        <v>0</v>
      </c>
      <c r="T213" s="534">
        <f t="shared" si="62"/>
        <v>0</v>
      </c>
      <c r="U213" s="564"/>
      <c r="V213" s="565"/>
    </row>
    <row r="214" s="214" customFormat="1" ht="17.25" customHeight="1" spans="1:22">
      <c r="A214" s="335" t="s">
        <v>851</v>
      </c>
      <c r="B214" s="541" t="s">
        <v>463</v>
      </c>
      <c r="C214" s="236">
        <v>0</v>
      </c>
      <c r="D214" s="232">
        <f t="shared" si="71"/>
        <v>0</v>
      </c>
      <c r="E214" s="545"/>
      <c r="F214" s="548">
        <v>0</v>
      </c>
      <c r="G214" s="545"/>
      <c r="H214" s="545"/>
      <c r="I214" s="545"/>
      <c r="J214" s="232"/>
      <c r="K214" s="232"/>
      <c r="L214" s="232"/>
      <c r="M214" s="236"/>
      <c r="N214" s="232"/>
      <c r="O214" s="232"/>
      <c r="P214" s="232"/>
      <c r="Q214" s="232">
        <f t="shared" si="72"/>
        <v>0</v>
      </c>
      <c r="R214" s="232"/>
      <c r="S214" s="232">
        <f t="shared" si="64"/>
        <v>0</v>
      </c>
      <c r="T214" s="534">
        <f t="shared" si="62"/>
        <v>0</v>
      </c>
      <c r="U214" s="564"/>
      <c r="V214" s="565"/>
    </row>
    <row r="215" s="214" customFormat="1" ht="17.25" customHeight="1" spans="1:22">
      <c r="A215" s="335" t="s">
        <v>852</v>
      </c>
      <c r="B215" s="541" t="s">
        <v>464</v>
      </c>
      <c r="C215" s="236">
        <v>1317</v>
      </c>
      <c r="D215" s="232">
        <f t="shared" si="71"/>
        <v>7</v>
      </c>
      <c r="E215" s="545">
        <v>1355</v>
      </c>
      <c r="F215" s="548"/>
      <c r="G215" s="545"/>
      <c r="H215" s="545"/>
      <c r="I215" s="545"/>
      <c r="J215" s="548">
        <f>-1156-177</f>
        <v>-1333</v>
      </c>
      <c r="K215" s="232"/>
      <c r="L215" s="232"/>
      <c r="M215" s="236">
        <v>916</v>
      </c>
      <c r="N215" s="232"/>
      <c r="O215" s="232">
        <f>-177+177</f>
        <v>0</v>
      </c>
      <c r="P215" s="236">
        <v>-931</v>
      </c>
      <c r="Q215" s="232">
        <f t="shared" si="72"/>
        <v>1324</v>
      </c>
      <c r="R215" s="232">
        <v>256</v>
      </c>
      <c r="S215" s="232">
        <f t="shared" si="64"/>
        <v>1068</v>
      </c>
      <c r="T215" s="534">
        <f t="shared" si="62"/>
        <v>1068</v>
      </c>
      <c r="U215" s="564"/>
      <c r="V215" s="565"/>
    </row>
    <row r="216" s="214" customFormat="1" ht="17.25" customHeight="1" spans="1:22">
      <c r="A216" s="335" t="s">
        <v>853</v>
      </c>
      <c r="B216" s="541" t="s">
        <v>465</v>
      </c>
      <c r="C216" s="236">
        <v>84</v>
      </c>
      <c r="D216" s="232">
        <f t="shared" si="71"/>
        <v>90</v>
      </c>
      <c r="E216" s="545"/>
      <c r="F216" s="548"/>
      <c r="G216" s="545"/>
      <c r="H216" s="545"/>
      <c r="I216" s="545"/>
      <c r="J216" s="232">
        <f>121-46</f>
        <v>75</v>
      </c>
      <c r="K216" s="232"/>
      <c r="L216" s="232"/>
      <c r="M216" s="236"/>
      <c r="N216" s="232"/>
      <c r="O216" s="232">
        <f>-46+46</f>
        <v>0</v>
      </c>
      <c r="P216" s="236">
        <v>15</v>
      </c>
      <c r="Q216" s="232">
        <f t="shared" si="72"/>
        <v>174</v>
      </c>
      <c r="R216" s="232">
        <v>160</v>
      </c>
      <c r="S216" s="232">
        <f t="shared" si="64"/>
        <v>14</v>
      </c>
      <c r="T216" s="534">
        <f t="shared" si="62"/>
        <v>14</v>
      </c>
      <c r="U216" s="564"/>
      <c r="V216" s="565"/>
    </row>
    <row r="217" s="214" customFormat="1" ht="17.25" customHeight="1" spans="1:22">
      <c r="A217" s="335" t="s">
        <v>854</v>
      </c>
      <c r="B217" s="541" t="s">
        <v>466</v>
      </c>
      <c r="C217" s="540">
        <v>509</v>
      </c>
      <c r="D217" s="232">
        <f t="shared" si="71"/>
        <v>120</v>
      </c>
      <c r="E217" s="545"/>
      <c r="F217" s="548"/>
      <c r="G217" s="545"/>
      <c r="H217" s="545"/>
      <c r="I217" s="545"/>
      <c r="J217" s="232">
        <v>120</v>
      </c>
      <c r="K217" s="232"/>
      <c r="L217" s="232"/>
      <c r="M217" s="236"/>
      <c r="N217" s="232"/>
      <c r="O217" s="232"/>
      <c r="P217" s="232"/>
      <c r="Q217" s="232">
        <f t="shared" si="72"/>
        <v>629</v>
      </c>
      <c r="R217" s="232">
        <v>629</v>
      </c>
      <c r="S217" s="232">
        <f t="shared" si="64"/>
        <v>0</v>
      </c>
      <c r="T217" s="534">
        <f t="shared" si="62"/>
        <v>0</v>
      </c>
      <c r="U217" s="564"/>
      <c r="V217" s="565"/>
    </row>
    <row r="218" s="518" customFormat="1" ht="16.9" customHeight="1" spans="1:22">
      <c r="A218" s="535" t="s">
        <v>855</v>
      </c>
      <c r="B218" s="535" t="s">
        <v>856</v>
      </c>
      <c r="C218" s="536">
        <v>4623</v>
      </c>
      <c r="D218" s="536">
        <f t="shared" si="71"/>
        <v>-4623</v>
      </c>
      <c r="E218" s="536">
        <v>0</v>
      </c>
      <c r="F218" s="536">
        <v>0</v>
      </c>
      <c r="G218" s="536">
        <v>0</v>
      </c>
      <c r="H218" s="536"/>
      <c r="I218" s="536">
        <v>-4623</v>
      </c>
      <c r="J218" s="536"/>
      <c r="K218" s="536">
        <v>0</v>
      </c>
      <c r="L218" s="536">
        <v>0</v>
      </c>
      <c r="M218" s="536"/>
      <c r="N218" s="536">
        <v>0</v>
      </c>
      <c r="O218" s="536">
        <v>0</v>
      </c>
      <c r="P218" s="536">
        <v>0</v>
      </c>
      <c r="Q218" s="536">
        <f t="shared" si="72"/>
        <v>0</v>
      </c>
      <c r="R218" s="536"/>
      <c r="S218" s="536">
        <f t="shared" si="64"/>
        <v>0</v>
      </c>
      <c r="T218" s="536">
        <f t="shared" si="62"/>
        <v>0</v>
      </c>
      <c r="U218" s="562"/>
      <c r="V218" s="563"/>
    </row>
    <row r="219" s="518" customFormat="1" ht="16.9" customHeight="1" spans="1:22">
      <c r="A219" s="535" t="s">
        <v>857</v>
      </c>
      <c r="B219" s="535" t="s">
        <v>858</v>
      </c>
      <c r="C219" s="536">
        <f t="shared" ref="C219:L219" si="73">C220+C221</f>
        <v>686</v>
      </c>
      <c r="D219" s="536">
        <f t="shared" si="71"/>
        <v>-656</v>
      </c>
      <c r="E219" s="536">
        <f t="shared" si="73"/>
        <v>0</v>
      </c>
      <c r="F219" s="536">
        <f t="shared" si="73"/>
        <v>0</v>
      </c>
      <c r="G219" s="536">
        <f t="shared" si="73"/>
        <v>0</v>
      </c>
      <c r="H219" s="536">
        <f t="shared" si="73"/>
        <v>0</v>
      </c>
      <c r="I219" s="536">
        <f t="shared" si="73"/>
        <v>0</v>
      </c>
      <c r="J219" s="536">
        <f t="shared" si="73"/>
        <v>-656</v>
      </c>
      <c r="K219" s="536">
        <f t="shared" si="73"/>
        <v>0</v>
      </c>
      <c r="L219" s="536">
        <f t="shared" si="73"/>
        <v>0</v>
      </c>
      <c r="M219" s="536"/>
      <c r="N219" s="536">
        <f t="shared" ref="N219:R219" si="74">N220+N221</f>
        <v>0</v>
      </c>
      <c r="O219" s="536">
        <f t="shared" si="74"/>
        <v>0</v>
      </c>
      <c r="P219" s="536">
        <f t="shared" si="74"/>
        <v>0</v>
      </c>
      <c r="Q219" s="536">
        <f t="shared" si="74"/>
        <v>30</v>
      </c>
      <c r="R219" s="536">
        <f t="shared" si="74"/>
        <v>30</v>
      </c>
      <c r="S219" s="536">
        <f t="shared" si="64"/>
        <v>0</v>
      </c>
      <c r="T219" s="536">
        <f t="shared" si="62"/>
        <v>0</v>
      </c>
      <c r="U219" s="562"/>
      <c r="V219" s="563"/>
    </row>
    <row r="220" s="214" customFormat="1" ht="17.25" customHeight="1" spans="1:22">
      <c r="A220" s="335" t="s">
        <v>859</v>
      </c>
      <c r="B220" s="541" t="s">
        <v>860</v>
      </c>
      <c r="C220" s="232">
        <v>686</v>
      </c>
      <c r="D220" s="232">
        <f t="shared" si="71"/>
        <v>-686</v>
      </c>
      <c r="E220" s="545">
        <v>0</v>
      </c>
      <c r="F220" s="548"/>
      <c r="G220" s="545">
        <v>0</v>
      </c>
      <c r="H220" s="545">
        <v>0</v>
      </c>
      <c r="I220" s="545"/>
      <c r="J220" s="548">
        <v>-686</v>
      </c>
      <c r="K220" s="232"/>
      <c r="L220" s="232"/>
      <c r="M220" s="568"/>
      <c r="N220" s="232"/>
      <c r="O220" s="232"/>
      <c r="P220" s="232">
        <v>0</v>
      </c>
      <c r="Q220" s="232">
        <f t="shared" ref="Q220:Q229" si="75">C220+D220</f>
        <v>0</v>
      </c>
      <c r="R220" s="232"/>
      <c r="S220" s="232">
        <f t="shared" si="64"/>
        <v>0</v>
      </c>
      <c r="T220" s="534">
        <f t="shared" si="62"/>
        <v>0</v>
      </c>
      <c r="U220" s="575"/>
      <c r="V220" s="576"/>
    </row>
    <row r="221" s="214" customFormat="1" ht="17.25" customHeight="1" spans="1:22">
      <c r="A221" s="335" t="s">
        <v>861</v>
      </c>
      <c r="B221" s="541" t="s">
        <v>862</v>
      </c>
      <c r="C221" s="232"/>
      <c r="D221" s="232">
        <f t="shared" si="71"/>
        <v>30</v>
      </c>
      <c r="E221" s="545">
        <v>0</v>
      </c>
      <c r="F221" s="548"/>
      <c r="G221" s="545"/>
      <c r="H221" s="545"/>
      <c r="I221" s="545"/>
      <c r="J221" s="232">
        <v>30</v>
      </c>
      <c r="K221" s="232"/>
      <c r="L221" s="232"/>
      <c r="M221" s="568"/>
      <c r="N221" s="232"/>
      <c r="O221" s="232"/>
      <c r="P221" s="232"/>
      <c r="Q221" s="232">
        <f t="shared" si="75"/>
        <v>30</v>
      </c>
      <c r="R221" s="232">
        <v>30</v>
      </c>
      <c r="S221" s="232">
        <f t="shared" si="64"/>
        <v>0</v>
      </c>
      <c r="T221" s="534">
        <f t="shared" si="62"/>
        <v>0</v>
      </c>
      <c r="U221" s="575"/>
      <c r="V221" s="576"/>
    </row>
    <row r="222" s="518" customFormat="1" ht="16.9" customHeight="1" spans="1:22">
      <c r="A222" s="535" t="s">
        <v>863</v>
      </c>
      <c r="B222" s="535" t="s">
        <v>864</v>
      </c>
      <c r="C222" s="536">
        <f>C223+C224+C225</f>
        <v>0</v>
      </c>
      <c r="D222" s="536">
        <f t="shared" si="71"/>
        <v>0</v>
      </c>
      <c r="E222" s="536">
        <f t="shared" ref="E222:L222" si="76">SUM(E223:E225)</f>
        <v>0</v>
      </c>
      <c r="F222" s="536">
        <f t="shared" si="76"/>
        <v>0</v>
      </c>
      <c r="G222" s="536">
        <f t="shared" si="76"/>
        <v>0</v>
      </c>
      <c r="H222" s="536">
        <f t="shared" si="76"/>
        <v>0</v>
      </c>
      <c r="I222" s="536">
        <f t="shared" si="76"/>
        <v>0</v>
      </c>
      <c r="J222" s="536">
        <f t="shared" si="76"/>
        <v>0</v>
      </c>
      <c r="K222" s="536">
        <f t="shared" si="76"/>
        <v>0</v>
      </c>
      <c r="L222" s="536">
        <f t="shared" si="76"/>
        <v>0</v>
      </c>
      <c r="M222" s="536"/>
      <c r="N222" s="536">
        <f t="shared" ref="N222:P222" si="77">SUM(N223:N225)</f>
        <v>0</v>
      </c>
      <c r="O222" s="536">
        <f t="shared" si="77"/>
        <v>0</v>
      </c>
      <c r="P222" s="536">
        <f t="shared" si="77"/>
        <v>0</v>
      </c>
      <c r="Q222" s="536">
        <f t="shared" si="75"/>
        <v>0</v>
      </c>
      <c r="R222" s="536">
        <f>SUM(R223:R225)</f>
        <v>0</v>
      </c>
      <c r="S222" s="536"/>
      <c r="T222" s="536">
        <f t="shared" si="62"/>
        <v>0</v>
      </c>
      <c r="U222" s="562"/>
      <c r="V222" s="563"/>
    </row>
    <row r="223" s="214" customFormat="1" ht="17.1" customHeight="1" spans="1:22">
      <c r="A223" s="335" t="s">
        <v>865</v>
      </c>
      <c r="B223" s="540" t="s">
        <v>473</v>
      </c>
      <c r="C223" s="232"/>
      <c r="D223" s="232">
        <f t="shared" si="71"/>
        <v>0</v>
      </c>
      <c r="E223" s="545"/>
      <c r="F223" s="548"/>
      <c r="G223" s="545"/>
      <c r="H223" s="545"/>
      <c r="I223" s="545"/>
      <c r="J223" s="232"/>
      <c r="K223" s="232"/>
      <c r="L223" s="232"/>
      <c r="M223" s="568"/>
      <c r="N223" s="232"/>
      <c r="O223" s="232"/>
      <c r="P223" s="232"/>
      <c r="Q223" s="232">
        <f t="shared" si="75"/>
        <v>0</v>
      </c>
      <c r="R223" s="232"/>
      <c r="S223" s="232"/>
      <c r="T223" s="534">
        <f t="shared" si="62"/>
        <v>0</v>
      </c>
      <c r="U223" s="577"/>
      <c r="V223" s="576"/>
    </row>
    <row r="224" s="214" customFormat="1" ht="17.1" customHeight="1" spans="1:22">
      <c r="A224" s="335" t="s">
        <v>866</v>
      </c>
      <c r="B224" s="540" t="s">
        <v>474</v>
      </c>
      <c r="C224" s="232"/>
      <c r="D224" s="232">
        <f t="shared" si="71"/>
        <v>0</v>
      </c>
      <c r="E224" s="545"/>
      <c r="F224" s="548"/>
      <c r="G224" s="545"/>
      <c r="H224" s="545"/>
      <c r="I224" s="545"/>
      <c r="J224" s="232"/>
      <c r="K224" s="232"/>
      <c r="L224" s="232"/>
      <c r="M224" s="568"/>
      <c r="N224" s="232"/>
      <c r="O224" s="232"/>
      <c r="P224" s="232"/>
      <c r="Q224" s="232">
        <f t="shared" si="75"/>
        <v>0</v>
      </c>
      <c r="R224" s="232"/>
      <c r="S224" s="232"/>
      <c r="T224" s="534">
        <f t="shared" si="62"/>
        <v>0</v>
      </c>
      <c r="U224" s="577"/>
      <c r="V224" s="576"/>
    </row>
    <row r="225" s="214" customFormat="1" ht="17.1" customHeight="1" spans="1:22">
      <c r="A225" s="335" t="s">
        <v>867</v>
      </c>
      <c r="B225" s="540" t="s">
        <v>475</v>
      </c>
      <c r="C225" s="232"/>
      <c r="D225" s="232">
        <f t="shared" si="71"/>
        <v>0</v>
      </c>
      <c r="E225" s="545"/>
      <c r="F225" s="548"/>
      <c r="G225" s="545"/>
      <c r="H225" s="545"/>
      <c r="I225" s="545"/>
      <c r="J225" s="232"/>
      <c r="K225" s="232"/>
      <c r="L225" s="232"/>
      <c r="M225" s="568"/>
      <c r="N225" s="232"/>
      <c r="O225" s="232"/>
      <c r="P225" s="232"/>
      <c r="Q225" s="232">
        <f t="shared" si="75"/>
        <v>0</v>
      </c>
      <c r="R225" s="232"/>
      <c r="S225" s="232"/>
      <c r="T225" s="534">
        <f t="shared" si="62"/>
        <v>0</v>
      </c>
      <c r="U225" s="577"/>
      <c r="V225" s="576"/>
    </row>
    <row r="226" s="518" customFormat="1" ht="16.9" customHeight="1" spans="1:22">
      <c r="A226" s="535" t="s">
        <v>868</v>
      </c>
      <c r="B226" s="535" t="s">
        <v>869</v>
      </c>
      <c r="C226" s="536">
        <f>C227+C228+C229</f>
        <v>0</v>
      </c>
      <c r="D226" s="536">
        <f t="shared" si="71"/>
        <v>0</v>
      </c>
      <c r="E226" s="536">
        <f t="shared" ref="E226:L226" si="78">SUM(E227:E229)</f>
        <v>0</v>
      </c>
      <c r="F226" s="536">
        <f t="shared" si="78"/>
        <v>0</v>
      </c>
      <c r="G226" s="536">
        <f t="shared" si="78"/>
        <v>0</v>
      </c>
      <c r="H226" s="536">
        <f t="shared" si="78"/>
        <v>0</v>
      </c>
      <c r="I226" s="536">
        <f t="shared" si="78"/>
        <v>0</v>
      </c>
      <c r="J226" s="536">
        <f t="shared" si="78"/>
        <v>0</v>
      </c>
      <c r="K226" s="536">
        <f t="shared" si="78"/>
        <v>0</v>
      </c>
      <c r="L226" s="536">
        <f t="shared" si="78"/>
        <v>0</v>
      </c>
      <c r="M226" s="536"/>
      <c r="N226" s="536">
        <f t="shared" ref="N226:P226" si="79">SUM(N227:N229)</f>
        <v>0</v>
      </c>
      <c r="O226" s="536">
        <f t="shared" si="79"/>
        <v>0</v>
      </c>
      <c r="P226" s="536">
        <f t="shared" si="79"/>
        <v>0</v>
      </c>
      <c r="Q226" s="536">
        <f t="shared" si="75"/>
        <v>0</v>
      </c>
      <c r="R226" s="536">
        <f>SUM(R227:R229)</f>
        <v>0</v>
      </c>
      <c r="S226" s="536">
        <f t="shared" ref="S226:S233" si="80">Q226-R226</f>
        <v>0</v>
      </c>
      <c r="T226" s="536">
        <f t="shared" si="62"/>
        <v>0</v>
      </c>
      <c r="U226" s="562"/>
      <c r="V226" s="563"/>
    </row>
    <row r="227" s="214" customFormat="1" ht="17.1" customHeight="1" spans="1:22">
      <c r="A227" s="335" t="s">
        <v>870</v>
      </c>
      <c r="B227" s="541" t="s">
        <v>871</v>
      </c>
      <c r="C227" s="232"/>
      <c r="D227" s="232">
        <f t="shared" si="71"/>
        <v>0</v>
      </c>
      <c r="E227" s="545"/>
      <c r="F227" s="548"/>
      <c r="G227" s="545"/>
      <c r="H227" s="545"/>
      <c r="I227" s="545"/>
      <c r="J227" s="232"/>
      <c r="K227" s="232"/>
      <c r="L227" s="232"/>
      <c r="M227" s="568"/>
      <c r="N227" s="232"/>
      <c r="O227" s="232"/>
      <c r="P227" s="232"/>
      <c r="Q227" s="232">
        <f t="shared" si="75"/>
        <v>0</v>
      </c>
      <c r="R227" s="232"/>
      <c r="S227" s="232">
        <f t="shared" si="80"/>
        <v>0</v>
      </c>
      <c r="T227" s="534">
        <f t="shared" si="62"/>
        <v>0</v>
      </c>
      <c r="U227" s="577"/>
      <c r="V227" s="576"/>
    </row>
    <row r="228" s="214" customFormat="1" ht="17.1" customHeight="1" spans="1:22">
      <c r="A228" s="335" t="s">
        <v>872</v>
      </c>
      <c r="B228" s="541" t="s">
        <v>873</v>
      </c>
      <c r="C228" s="232"/>
      <c r="D228" s="232">
        <f t="shared" si="71"/>
        <v>0</v>
      </c>
      <c r="E228" s="545"/>
      <c r="F228" s="548"/>
      <c r="G228" s="545"/>
      <c r="H228" s="545"/>
      <c r="I228" s="545"/>
      <c r="J228" s="232"/>
      <c r="K228" s="232"/>
      <c r="L228" s="232"/>
      <c r="M228" s="568"/>
      <c r="N228" s="232"/>
      <c r="O228" s="232"/>
      <c r="P228" s="232"/>
      <c r="Q228" s="232">
        <f t="shared" si="75"/>
        <v>0</v>
      </c>
      <c r="R228" s="232"/>
      <c r="S228" s="232">
        <f t="shared" si="80"/>
        <v>0</v>
      </c>
      <c r="T228" s="534">
        <f t="shared" si="62"/>
        <v>0</v>
      </c>
      <c r="U228" s="577"/>
      <c r="V228" s="576"/>
    </row>
    <row r="229" s="214" customFormat="1" ht="17.1" customHeight="1" spans="1:22">
      <c r="A229" s="335" t="s">
        <v>874</v>
      </c>
      <c r="B229" s="541" t="s">
        <v>875</v>
      </c>
      <c r="C229" s="232"/>
      <c r="D229" s="232">
        <f t="shared" si="71"/>
        <v>0</v>
      </c>
      <c r="E229" s="545"/>
      <c r="F229" s="548"/>
      <c r="G229" s="545"/>
      <c r="H229" s="545"/>
      <c r="I229" s="545"/>
      <c r="J229" s="232"/>
      <c r="K229" s="232"/>
      <c r="L229" s="232"/>
      <c r="M229" s="568"/>
      <c r="N229" s="232"/>
      <c r="O229" s="232"/>
      <c r="P229" s="232"/>
      <c r="Q229" s="232">
        <f t="shared" si="75"/>
        <v>0</v>
      </c>
      <c r="R229" s="232"/>
      <c r="S229" s="232">
        <f t="shared" si="80"/>
        <v>0</v>
      </c>
      <c r="T229" s="534">
        <f t="shared" si="62"/>
        <v>0</v>
      </c>
      <c r="U229" s="577"/>
      <c r="V229" s="576"/>
    </row>
    <row r="230" s="518" customFormat="1" ht="16.9" customHeight="1" spans="1:22">
      <c r="A230" s="535" t="s">
        <v>876</v>
      </c>
      <c r="B230" s="667" t="s">
        <v>877</v>
      </c>
      <c r="C230" s="536">
        <f t="shared" ref="C230:L230" si="81">SUM(C231)</f>
        <v>5977</v>
      </c>
      <c r="D230" s="536">
        <f t="shared" si="81"/>
        <v>204</v>
      </c>
      <c r="E230" s="536">
        <f t="shared" si="81"/>
        <v>0</v>
      </c>
      <c r="F230" s="536">
        <f t="shared" si="81"/>
        <v>2812</v>
      </c>
      <c r="G230" s="536">
        <f t="shared" si="81"/>
        <v>0</v>
      </c>
      <c r="H230" s="536">
        <f t="shared" si="81"/>
        <v>0</v>
      </c>
      <c r="I230" s="536">
        <f t="shared" si="81"/>
        <v>0</v>
      </c>
      <c r="J230" s="536">
        <f t="shared" si="81"/>
        <v>-1634</v>
      </c>
      <c r="K230" s="536">
        <f t="shared" si="81"/>
        <v>-974</v>
      </c>
      <c r="L230" s="536">
        <f t="shared" si="81"/>
        <v>0</v>
      </c>
      <c r="M230" s="536"/>
      <c r="N230" s="536">
        <f t="shared" ref="N230:R230" si="82">SUM(N231)</f>
        <v>0</v>
      </c>
      <c r="O230" s="536">
        <f t="shared" si="82"/>
        <v>0</v>
      </c>
      <c r="P230" s="536">
        <f t="shared" si="82"/>
        <v>0</v>
      </c>
      <c r="Q230" s="536">
        <f t="shared" si="82"/>
        <v>6181</v>
      </c>
      <c r="R230" s="536">
        <f t="shared" si="82"/>
        <v>6181</v>
      </c>
      <c r="S230" s="536">
        <f t="shared" si="80"/>
        <v>0</v>
      </c>
      <c r="T230" s="536">
        <f t="shared" si="62"/>
        <v>0</v>
      </c>
      <c r="U230" s="562"/>
      <c r="V230" s="563"/>
    </row>
    <row r="231" s="214" customFormat="1" ht="17.25" customHeight="1" spans="1:22">
      <c r="A231" s="335" t="s">
        <v>878</v>
      </c>
      <c r="B231" s="336" t="s">
        <v>879</v>
      </c>
      <c r="C231" s="232">
        <v>5977</v>
      </c>
      <c r="D231" s="232">
        <f t="shared" ref="D231:D233" si="83">SUM(E231:P231)</f>
        <v>204</v>
      </c>
      <c r="E231" s="545">
        <v>0</v>
      </c>
      <c r="F231" s="548">
        <v>2812</v>
      </c>
      <c r="G231" s="545"/>
      <c r="H231" s="545"/>
      <c r="I231" s="545"/>
      <c r="J231" s="232">
        <v>-1634</v>
      </c>
      <c r="K231" s="232">
        <v>-974</v>
      </c>
      <c r="L231" s="232"/>
      <c r="M231" s="568"/>
      <c r="N231" s="232"/>
      <c r="O231" s="232"/>
      <c r="P231" s="232"/>
      <c r="Q231" s="232">
        <f>C231+D231</f>
        <v>6181</v>
      </c>
      <c r="R231" s="232">
        <v>6181</v>
      </c>
      <c r="S231" s="232">
        <f t="shared" si="80"/>
        <v>0</v>
      </c>
      <c r="T231" s="534">
        <f t="shared" si="62"/>
        <v>0</v>
      </c>
      <c r="U231" s="575"/>
      <c r="V231" s="576"/>
    </row>
    <row r="232" s="518" customFormat="1" ht="16.9" customHeight="1" spans="1:22">
      <c r="A232" s="535" t="s">
        <v>880</v>
      </c>
      <c r="B232" s="667" t="s">
        <v>881</v>
      </c>
      <c r="C232" s="536">
        <f t="shared" ref="C232:L232" si="84">C233</f>
        <v>0</v>
      </c>
      <c r="D232" s="536">
        <f t="shared" si="83"/>
        <v>4</v>
      </c>
      <c r="E232" s="536">
        <f t="shared" si="84"/>
        <v>0</v>
      </c>
      <c r="F232" s="536">
        <f t="shared" si="84"/>
        <v>0</v>
      </c>
      <c r="G232" s="536">
        <f t="shared" si="84"/>
        <v>0</v>
      </c>
      <c r="H232" s="536">
        <f t="shared" si="84"/>
        <v>0</v>
      </c>
      <c r="I232" s="536">
        <f t="shared" si="84"/>
        <v>0</v>
      </c>
      <c r="J232" s="536">
        <f t="shared" si="84"/>
        <v>4</v>
      </c>
      <c r="K232" s="536">
        <f t="shared" si="84"/>
        <v>0</v>
      </c>
      <c r="L232" s="536">
        <f t="shared" si="84"/>
        <v>0</v>
      </c>
      <c r="M232" s="536"/>
      <c r="N232" s="536">
        <f t="shared" ref="N232:R232" si="85">N233</f>
        <v>0</v>
      </c>
      <c r="O232" s="536">
        <f t="shared" si="85"/>
        <v>0</v>
      </c>
      <c r="P232" s="536">
        <f t="shared" si="85"/>
        <v>0</v>
      </c>
      <c r="Q232" s="536">
        <f t="shared" si="85"/>
        <v>4</v>
      </c>
      <c r="R232" s="536">
        <f t="shared" si="85"/>
        <v>4</v>
      </c>
      <c r="S232" s="536">
        <f t="shared" si="80"/>
        <v>0</v>
      </c>
      <c r="T232" s="536">
        <f t="shared" si="62"/>
        <v>0</v>
      </c>
      <c r="U232" s="562"/>
      <c r="V232" s="563"/>
    </row>
    <row r="233" s="214" customFormat="1" ht="17.25" customHeight="1" spans="1:22">
      <c r="A233" s="335" t="s">
        <v>882</v>
      </c>
      <c r="B233" s="336" t="s">
        <v>883</v>
      </c>
      <c r="C233" s="232"/>
      <c r="D233" s="232">
        <f t="shared" si="83"/>
        <v>4</v>
      </c>
      <c r="E233" s="545">
        <v>0</v>
      </c>
      <c r="F233" s="548"/>
      <c r="G233" s="545">
        <v>0</v>
      </c>
      <c r="H233" s="545">
        <v>0</v>
      </c>
      <c r="I233" s="545"/>
      <c r="J233" s="232">
        <v>4</v>
      </c>
      <c r="K233" s="232"/>
      <c r="L233" s="232"/>
      <c r="M233" s="574"/>
      <c r="N233" s="232"/>
      <c r="O233" s="232"/>
      <c r="P233" s="232"/>
      <c r="Q233" s="232">
        <f>C233+D233</f>
        <v>4</v>
      </c>
      <c r="R233" s="232">
        <v>4</v>
      </c>
      <c r="S233" s="232">
        <f t="shared" si="80"/>
        <v>0</v>
      </c>
      <c r="T233" s="534">
        <f t="shared" si="62"/>
        <v>0</v>
      </c>
      <c r="U233" s="577"/>
      <c r="V233" s="578"/>
    </row>
    <row r="234" s="214" customFormat="1" ht="17.25" customHeight="1" spans="1:22">
      <c r="A234" s="519"/>
      <c r="U234" s="520"/>
      <c r="V234" s="520"/>
    </row>
    <row r="235" ht="17.25" customHeight="1"/>
    <row r="236" ht="17.25" customHeight="1"/>
    <row r="237" ht="17.25" customHeight="1"/>
    <row r="238" ht="17.25" customHeight="1"/>
    <row r="239" ht="17.25" customHeight="1"/>
    <row r="240" ht="17.1" customHeight="1"/>
    <row r="241" ht="17.1" customHeight="1"/>
    <row r="242" ht="17.1"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6.9" customHeight="1"/>
  </sheetData>
  <autoFilter xmlns:etc="http://www.wps.cn/officeDocument/2017/etCustomData" ref="A5:HP226" etc:filterBottomFollowUsedRange="0">
    <extLst/>
  </autoFilter>
  <mergeCells count="22">
    <mergeCell ref="A1:T1"/>
    <mergeCell ref="D4:P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4:Q6"/>
    <mergeCell ref="R4:R6"/>
    <mergeCell ref="S4:S6"/>
    <mergeCell ref="T4:T6"/>
  </mergeCells>
  <pageMargins left="0.708661417322835" right="0.708661417322835" top="0.551181102362205" bottom="0.748031496062992" header="0.31496062992126" footer="0.31496062992126"/>
  <pageSetup paperSize="9" scale="41" fitToHeight="10" orientation="portrait" blackAndWhite="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4"/>
  <sheetViews>
    <sheetView showZeros="0" view="pageBreakPreview" zoomScaleNormal="100" topLeftCell="B1" workbookViewId="0">
      <pane ySplit="4" topLeftCell="A267" activePane="bottomLeft" state="frozen"/>
      <selection/>
      <selection pane="bottomLeft" activeCell="Q297" sqref="Q297"/>
    </sheetView>
  </sheetViews>
  <sheetFormatPr defaultColWidth="9" defaultRowHeight="12.75"/>
  <cols>
    <col min="1" max="1" width="33.5" style="457" customWidth="1"/>
    <col min="2" max="2" width="8.375" style="458" customWidth="1"/>
    <col min="3" max="3" width="9.5" style="458" customWidth="1"/>
    <col min="4" max="4" width="10.125" style="458" customWidth="1"/>
    <col min="5" max="5" width="10.5" style="458" customWidth="1"/>
    <col min="6" max="6" width="8.125" style="214" customWidth="1"/>
    <col min="7" max="7" width="6.25" style="459" customWidth="1"/>
    <col min="8" max="9" width="5.375" style="459" customWidth="1"/>
    <col min="10" max="10" width="25.75" style="214" customWidth="1"/>
    <col min="11" max="11" width="8.5" style="458" customWidth="1"/>
    <col min="12" max="12" width="8.75" style="458" customWidth="1"/>
    <col min="13" max="13" width="9.5" style="458" customWidth="1"/>
    <col min="14" max="14" width="9.125" style="458" customWidth="1"/>
    <col min="15" max="15" width="11.4583333333333" style="214" customWidth="1"/>
    <col min="16" max="16384" width="9" style="213"/>
  </cols>
  <sheetData>
    <row r="1" s="213" customFormat="1" ht="20.25" spans="1:15">
      <c r="A1" s="668" t="s">
        <v>884</v>
      </c>
      <c r="B1" s="461"/>
      <c r="C1" s="461"/>
      <c r="D1" s="461"/>
      <c r="E1" s="461"/>
      <c r="F1" s="461"/>
      <c r="G1" s="471"/>
      <c r="H1" s="471"/>
      <c r="I1" s="471"/>
      <c r="J1" s="461"/>
      <c r="K1" s="461"/>
      <c r="L1" s="461"/>
      <c r="M1" s="461"/>
      <c r="N1" s="461"/>
      <c r="O1" s="461"/>
    </row>
    <row r="2" s="213" customFormat="1" ht="15.75" spans="1:15">
      <c r="A2" s="462"/>
      <c r="B2" s="463"/>
      <c r="C2" s="463"/>
      <c r="D2" s="463"/>
      <c r="E2" s="463"/>
      <c r="F2" s="472"/>
      <c r="G2" s="473" t="s">
        <v>885</v>
      </c>
      <c r="H2" s="473" t="s">
        <v>885</v>
      </c>
      <c r="I2" s="473" t="s">
        <v>885</v>
      </c>
      <c r="J2" s="472"/>
      <c r="K2" s="463"/>
      <c r="L2" s="482" t="s">
        <v>251</v>
      </c>
      <c r="M2" s="482"/>
      <c r="N2" s="482"/>
      <c r="O2" s="214"/>
    </row>
    <row r="3" s="456" customFormat="1" ht="18" customHeight="1" spans="1:15">
      <c r="A3" s="464" t="s">
        <v>886</v>
      </c>
      <c r="B3" s="465"/>
      <c r="C3" s="465"/>
      <c r="D3" s="466"/>
      <c r="E3" s="466"/>
      <c r="F3" s="474"/>
      <c r="G3" s="475"/>
      <c r="H3" s="475"/>
      <c r="I3" s="475"/>
      <c r="J3" s="483" t="s">
        <v>887</v>
      </c>
      <c r="K3" s="465"/>
      <c r="L3" s="465"/>
      <c r="M3" s="465"/>
      <c r="N3" s="465"/>
      <c r="O3" s="490"/>
    </row>
    <row r="4" s="456" customFormat="1" ht="36.75" customHeight="1" spans="1:15">
      <c r="A4" s="464" t="s">
        <v>888</v>
      </c>
      <c r="B4" s="465" t="s">
        <v>889</v>
      </c>
      <c r="C4" s="465" t="s">
        <v>890</v>
      </c>
      <c r="D4" s="669" t="s">
        <v>891</v>
      </c>
      <c r="E4" s="669" t="s">
        <v>892</v>
      </c>
      <c r="F4" s="476" t="s">
        <v>893</v>
      </c>
      <c r="G4" s="477" t="s">
        <v>894</v>
      </c>
      <c r="H4" s="477" t="s">
        <v>895</v>
      </c>
      <c r="I4" s="477" t="s">
        <v>896</v>
      </c>
      <c r="J4" s="474" t="s">
        <v>888</v>
      </c>
      <c r="K4" s="466" t="s">
        <v>889</v>
      </c>
      <c r="L4" s="465" t="s">
        <v>890</v>
      </c>
      <c r="M4" s="669" t="s">
        <v>891</v>
      </c>
      <c r="N4" s="669" t="s">
        <v>892</v>
      </c>
      <c r="O4" s="491" t="s">
        <v>893</v>
      </c>
    </row>
    <row r="5" s="456" customFormat="1" ht="18" customHeight="1" spans="1:15">
      <c r="A5" s="468" t="s">
        <v>897</v>
      </c>
      <c r="B5" s="139">
        <f>B6+B9+B10+B11+B12+B13+B14+B15+B16+B22+B23+B26+B27+B28+B29+B32+B33+B34+B37+B38+B39+B40+B41+B44+B45+B53+B54+B55+B56</f>
        <v>5448</v>
      </c>
      <c r="C5" s="139">
        <f>C6+C9+C10+C11+C12+C13+C14+C15+C16+C22+C23+C26+C27+C28+C29+C32+C33+C34+C37+C38+C39+C40+C41+C44+C45+C53+C54+C55+C56</f>
        <v>23600</v>
      </c>
      <c r="D5" s="139">
        <f>D6+D9+D10+D11+D12+D13+D14+D15+D16+D22+D23+D26+D27+D28+D29+D32+D33+D34+D37+D38+D39+D40+D41+D44+D45+D53+D54+D55+D56</f>
        <v>11109</v>
      </c>
      <c r="E5" s="139">
        <f>E6+E9+E10+E11+E12+E13+E14+E15+E16+E22+E23+E26+E27+E28+E29+E32+E33+E34+E37+E38+E39+E40+E41+E44+E45+E53+E54+E55+E56</f>
        <v>11294</v>
      </c>
      <c r="F5" s="478">
        <f t="shared" ref="F5:F30" si="0">IF(B5=0,0,SUM(E5/B5-1)*100)</f>
        <v>107.31</v>
      </c>
      <c r="G5" s="479">
        <v>205</v>
      </c>
      <c r="H5" s="479"/>
      <c r="I5" s="479"/>
      <c r="J5" s="484" t="s">
        <v>898</v>
      </c>
      <c r="K5" s="485">
        <f t="shared" ref="K5:N5" si="1">K6</f>
        <v>0</v>
      </c>
      <c r="L5" s="485">
        <f t="shared" si="1"/>
        <v>0</v>
      </c>
      <c r="M5" s="485">
        <f t="shared" si="1"/>
        <v>0</v>
      </c>
      <c r="N5" s="485">
        <f t="shared" si="1"/>
        <v>0</v>
      </c>
      <c r="O5" s="492">
        <f t="shared" ref="O5:O16" si="2">IF(K5=0,0,SUM(N5/K5-1)*100)</f>
        <v>0</v>
      </c>
    </row>
    <row r="6" s="456" customFormat="1" ht="18" customHeight="1" spans="1:15">
      <c r="A6" s="468" t="s">
        <v>899</v>
      </c>
      <c r="B6" s="139">
        <f>B7+B8</f>
        <v>0</v>
      </c>
      <c r="C6" s="139">
        <f>C7+C8</f>
        <v>0</v>
      </c>
      <c r="D6" s="139">
        <f>D7+D8</f>
        <v>0</v>
      </c>
      <c r="E6" s="139">
        <f>E7+E8</f>
        <v>0</v>
      </c>
      <c r="F6" s="478">
        <f t="shared" si="0"/>
        <v>0</v>
      </c>
      <c r="G6" s="479">
        <v>205</v>
      </c>
      <c r="H6" s="479" t="s">
        <v>900</v>
      </c>
      <c r="I6" s="479"/>
      <c r="J6" s="484" t="s">
        <v>901</v>
      </c>
      <c r="K6" s="485">
        <f t="shared" ref="K6:N6" si="3">SUM(K7:K11)</f>
        <v>0</v>
      </c>
      <c r="L6" s="485">
        <f t="shared" si="3"/>
        <v>0</v>
      </c>
      <c r="M6" s="485">
        <f t="shared" si="3"/>
        <v>0</v>
      </c>
      <c r="N6" s="485">
        <f t="shared" si="3"/>
        <v>0</v>
      </c>
      <c r="O6" s="492">
        <f t="shared" si="2"/>
        <v>0</v>
      </c>
    </row>
    <row r="7" s="456" customFormat="1" ht="18" customHeight="1" spans="1:15">
      <c r="A7" s="151" t="s">
        <v>902</v>
      </c>
      <c r="B7" s="41"/>
      <c r="C7" s="41"/>
      <c r="D7" s="41"/>
      <c r="E7" s="41"/>
      <c r="F7" s="478">
        <f t="shared" si="0"/>
        <v>0</v>
      </c>
      <c r="G7" s="479">
        <v>205</v>
      </c>
      <c r="H7" s="479" t="s">
        <v>900</v>
      </c>
      <c r="I7" s="479" t="s">
        <v>903</v>
      </c>
      <c r="J7" s="129" t="s">
        <v>904</v>
      </c>
      <c r="K7" s="486"/>
      <c r="L7" s="486"/>
      <c r="M7" s="486"/>
      <c r="N7" s="486"/>
      <c r="O7" s="492">
        <f t="shared" si="2"/>
        <v>0</v>
      </c>
    </row>
    <row r="8" s="456" customFormat="1" ht="18" customHeight="1" spans="1:15">
      <c r="A8" s="469" t="s">
        <v>905</v>
      </c>
      <c r="B8" s="41"/>
      <c r="C8" s="41"/>
      <c r="D8" s="41"/>
      <c r="E8" s="41"/>
      <c r="F8" s="478">
        <f t="shared" si="0"/>
        <v>0</v>
      </c>
      <c r="G8" s="479">
        <v>205</v>
      </c>
      <c r="H8" s="479" t="s">
        <v>900</v>
      </c>
      <c r="I8" s="479" t="s">
        <v>906</v>
      </c>
      <c r="J8" s="129" t="s">
        <v>907</v>
      </c>
      <c r="K8" s="486"/>
      <c r="L8" s="486"/>
      <c r="M8" s="486"/>
      <c r="N8" s="486"/>
      <c r="O8" s="492">
        <f t="shared" si="2"/>
        <v>0</v>
      </c>
    </row>
    <row r="9" s="456" customFormat="1" ht="18" customHeight="1" spans="1:15">
      <c r="A9" s="468" t="s">
        <v>908</v>
      </c>
      <c r="B9" s="139"/>
      <c r="C9" s="139"/>
      <c r="D9" s="139"/>
      <c r="E9" s="139"/>
      <c r="F9" s="478">
        <f t="shared" si="0"/>
        <v>0</v>
      </c>
      <c r="G9" s="479">
        <v>205</v>
      </c>
      <c r="H9" s="479" t="s">
        <v>900</v>
      </c>
      <c r="I9" s="479" t="s">
        <v>909</v>
      </c>
      <c r="J9" s="129" t="s">
        <v>585</v>
      </c>
      <c r="K9" s="486"/>
      <c r="L9" s="486"/>
      <c r="M9" s="486"/>
      <c r="N9" s="486"/>
      <c r="O9" s="493">
        <f t="shared" si="2"/>
        <v>0</v>
      </c>
    </row>
    <row r="10" s="456" customFormat="1" ht="18" customHeight="1" spans="1:15">
      <c r="A10" s="468" t="s">
        <v>910</v>
      </c>
      <c r="B10" s="139"/>
      <c r="C10" s="139"/>
      <c r="D10" s="139"/>
      <c r="E10" s="139"/>
      <c r="F10" s="478">
        <f t="shared" si="0"/>
        <v>0</v>
      </c>
      <c r="G10" s="479">
        <v>205</v>
      </c>
      <c r="H10" s="479" t="s">
        <v>900</v>
      </c>
      <c r="I10" s="479" t="s">
        <v>911</v>
      </c>
      <c r="J10" s="129" t="s">
        <v>593</v>
      </c>
      <c r="K10" s="486"/>
      <c r="L10" s="486"/>
      <c r="M10" s="486"/>
      <c r="N10" s="486"/>
      <c r="O10" s="493">
        <f t="shared" si="2"/>
        <v>0</v>
      </c>
    </row>
    <row r="11" s="456" customFormat="1" ht="18" customHeight="1" spans="1:15">
      <c r="A11" s="468" t="s">
        <v>912</v>
      </c>
      <c r="B11" s="139"/>
      <c r="C11" s="139"/>
      <c r="D11" s="139"/>
      <c r="E11" s="139"/>
      <c r="F11" s="478">
        <f t="shared" si="0"/>
        <v>0</v>
      </c>
      <c r="G11" s="479">
        <v>205</v>
      </c>
      <c r="H11" s="479" t="s">
        <v>900</v>
      </c>
      <c r="I11" s="479" t="s">
        <v>913</v>
      </c>
      <c r="J11" s="129" t="s">
        <v>599</v>
      </c>
      <c r="K11" s="486"/>
      <c r="L11" s="486"/>
      <c r="M11" s="486"/>
      <c r="N11" s="486"/>
      <c r="O11" s="492">
        <f t="shared" si="2"/>
        <v>0</v>
      </c>
    </row>
    <row r="12" s="456" customFormat="1" ht="18" customHeight="1" spans="1:15">
      <c r="A12" s="468" t="s">
        <v>914</v>
      </c>
      <c r="B12" s="139"/>
      <c r="C12" s="139"/>
      <c r="D12" s="139"/>
      <c r="E12" s="139"/>
      <c r="F12" s="478">
        <f t="shared" si="0"/>
        <v>0</v>
      </c>
      <c r="G12" s="479" t="s">
        <v>600</v>
      </c>
      <c r="H12" s="479"/>
      <c r="I12" s="479"/>
      <c r="J12" s="484" t="s">
        <v>915</v>
      </c>
      <c r="K12" s="485">
        <f t="shared" ref="K12:N12" si="4">K13+K20</f>
        <v>0</v>
      </c>
      <c r="L12" s="485">
        <f t="shared" si="4"/>
        <v>0</v>
      </c>
      <c r="M12" s="485">
        <f t="shared" si="4"/>
        <v>0</v>
      </c>
      <c r="N12" s="485">
        <f t="shared" si="4"/>
        <v>0</v>
      </c>
      <c r="O12" s="493">
        <f t="shared" si="2"/>
        <v>0</v>
      </c>
    </row>
    <row r="13" s="456" customFormat="1" ht="18" customHeight="1" spans="1:15">
      <c r="A13" s="468" t="s">
        <v>916</v>
      </c>
      <c r="B13" s="139"/>
      <c r="C13" s="139"/>
      <c r="D13" s="139"/>
      <c r="E13" s="139"/>
      <c r="F13" s="478">
        <f t="shared" si="0"/>
        <v>0</v>
      </c>
      <c r="G13" s="480" t="s">
        <v>600</v>
      </c>
      <c r="H13" s="480" t="s">
        <v>917</v>
      </c>
      <c r="I13" s="480"/>
      <c r="J13" s="487" t="s">
        <v>918</v>
      </c>
      <c r="K13" s="139">
        <f t="shared" ref="K13:N13" si="5">SUM(K14:K19)</f>
        <v>0</v>
      </c>
      <c r="L13" s="139">
        <f t="shared" si="5"/>
        <v>0</v>
      </c>
      <c r="M13" s="139">
        <f t="shared" si="5"/>
        <v>0</v>
      </c>
      <c r="N13" s="139">
        <f t="shared" si="5"/>
        <v>0</v>
      </c>
      <c r="O13" s="493">
        <f t="shared" si="2"/>
        <v>0</v>
      </c>
    </row>
    <row r="14" s="456" customFormat="1" ht="18" customHeight="1" spans="1:15">
      <c r="A14" s="468" t="s">
        <v>919</v>
      </c>
      <c r="B14" s="139"/>
      <c r="C14" s="139"/>
      <c r="D14" s="139"/>
      <c r="E14" s="139"/>
      <c r="F14" s="478">
        <f t="shared" si="0"/>
        <v>0</v>
      </c>
      <c r="G14" s="480" t="s">
        <v>600</v>
      </c>
      <c r="H14" s="480" t="s">
        <v>917</v>
      </c>
      <c r="I14" s="480" t="s">
        <v>903</v>
      </c>
      <c r="J14" s="130" t="s">
        <v>920</v>
      </c>
      <c r="K14" s="41"/>
      <c r="L14" s="41"/>
      <c r="M14" s="41"/>
      <c r="N14" s="41"/>
      <c r="O14" s="493">
        <f t="shared" si="2"/>
        <v>0</v>
      </c>
    </row>
    <row r="15" s="456" customFormat="1" ht="18" customHeight="1" spans="1:15">
      <c r="A15" s="468" t="s">
        <v>921</v>
      </c>
      <c r="B15" s="139"/>
      <c r="C15" s="139"/>
      <c r="D15" s="139"/>
      <c r="E15" s="139"/>
      <c r="F15" s="478">
        <f t="shared" si="0"/>
        <v>0</v>
      </c>
      <c r="G15" s="480" t="s">
        <v>600</v>
      </c>
      <c r="H15" s="480" t="s">
        <v>917</v>
      </c>
      <c r="I15" s="480" t="s">
        <v>906</v>
      </c>
      <c r="J15" s="130" t="s">
        <v>922</v>
      </c>
      <c r="K15" s="41"/>
      <c r="L15" s="41"/>
      <c r="M15" s="41"/>
      <c r="N15" s="41"/>
      <c r="O15" s="493">
        <f t="shared" si="2"/>
        <v>0</v>
      </c>
    </row>
    <row r="16" s="456" customFormat="1" ht="18" customHeight="1" spans="1:15">
      <c r="A16" s="468" t="s">
        <v>923</v>
      </c>
      <c r="B16" s="139">
        <f>B17+B18+B19+B20+B21</f>
        <v>4732</v>
      </c>
      <c r="C16" s="139">
        <f>C17+C18+C19+C20+C21</f>
        <v>22300</v>
      </c>
      <c r="D16" s="139">
        <f>D17+D18+D19+D20+D21</f>
        <v>10623</v>
      </c>
      <c r="E16" s="139">
        <f>E17+E18+E19+E20+E21</f>
        <v>10630</v>
      </c>
      <c r="F16" s="481">
        <f t="shared" si="0"/>
        <v>124.64</v>
      </c>
      <c r="G16" s="480" t="s">
        <v>600</v>
      </c>
      <c r="H16" s="480" t="s">
        <v>917</v>
      </c>
      <c r="I16" s="480" t="s">
        <v>909</v>
      </c>
      <c r="J16" s="130" t="s">
        <v>924</v>
      </c>
      <c r="K16" s="41"/>
      <c r="L16" s="41"/>
      <c r="M16" s="41"/>
      <c r="N16" s="41"/>
      <c r="O16" s="493">
        <f t="shared" si="2"/>
        <v>0</v>
      </c>
    </row>
    <row r="17" s="456" customFormat="1" ht="18" customHeight="1" spans="1:15">
      <c r="A17" s="151" t="s">
        <v>925</v>
      </c>
      <c r="B17" s="41">
        <v>4466</v>
      </c>
      <c r="C17" s="41">
        <v>18500</v>
      </c>
      <c r="D17" s="470">
        <f>8264+164</f>
        <v>8428</v>
      </c>
      <c r="E17" s="470">
        <v>10276</v>
      </c>
      <c r="F17" s="478">
        <f t="shared" si="0"/>
        <v>130.09</v>
      </c>
      <c r="G17" s="480" t="s">
        <v>600</v>
      </c>
      <c r="H17" s="480" t="s">
        <v>917</v>
      </c>
      <c r="I17" s="480" t="s">
        <v>911</v>
      </c>
      <c r="J17" s="130" t="s">
        <v>926</v>
      </c>
      <c r="K17" s="41"/>
      <c r="L17" s="41"/>
      <c r="M17" s="41"/>
      <c r="N17" s="41"/>
      <c r="O17" s="493"/>
    </row>
    <row r="18" s="456" customFormat="1" ht="18" customHeight="1" spans="1:15">
      <c r="A18" s="151" t="s">
        <v>927</v>
      </c>
      <c r="B18" s="41">
        <v>310</v>
      </c>
      <c r="C18" s="41"/>
      <c r="D18" s="470">
        <f>181+1834</f>
        <v>2015</v>
      </c>
      <c r="E18" s="470">
        <v>182</v>
      </c>
      <c r="F18" s="478">
        <f t="shared" si="0"/>
        <v>-41.29</v>
      </c>
      <c r="G18" s="480" t="s">
        <v>600</v>
      </c>
      <c r="H18" s="480" t="s">
        <v>917</v>
      </c>
      <c r="I18" s="480" t="s">
        <v>928</v>
      </c>
      <c r="J18" s="488" t="s">
        <v>929</v>
      </c>
      <c r="K18" s="41"/>
      <c r="L18" s="41"/>
      <c r="M18" s="41"/>
      <c r="N18" s="41"/>
      <c r="O18" s="492">
        <f t="shared" ref="O18:O29" si="6">IF(K18=0,0,SUM(N18/K18-1)*100)</f>
        <v>0</v>
      </c>
    </row>
    <row r="19" s="456" customFormat="1" ht="18" customHeight="1" spans="1:15">
      <c r="A19" s="161" t="s">
        <v>930</v>
      </c>
      <c r="B19" s="41">
        <v>37</v>
      </c>
      <c r="C19" s="41">
        <v>3700</v>
      </c>
      <c r="D19" s="470">
        <v>182</v>
      </c>
      <c r="E19" s="470">
        <v>182</v>
      </c>
      <c r="F19" s="478">
        <f t="shared" si="0"/>
        <v>391.89</v>
      </c>
      <c r="G19" s="480" t="s">
        <v>600</v>
      </c>
      <c r="H19" s="480" t="s">
        <v>917</v>
      </c>
      <c r="I19" s="480" t="s">
        <v>913</v>
      </c>
      <c r="J19" s="489" t="s">
        <v>931</v>
      </c>
      <c r="K19" s="41"/>
      <c r="L19" s="41"/>
      <c r="M19" s="41"/>
      <c r="N19" s="41"/>
      <c r="O19" s="492">
        <f t="shared" si="6"/>
        <v>0</v>
      </c>
    </row>
    <row r="20" s="456" customFormat="1" ht="18" customHeight="1" spans="1:15">
      <c r="A20" s="161" t="s">
        <v>932</v>
      </c>
      <c r="B20" s="41">
        <v>-133</v>
      </c>
      <c r="C20" s="41">
        <v>100</v>
      </c>
      <c r="D20" s="470">
        <v>-90</v>
      </c>
      <c r="E20" s="470">
        <v>-135</v>
      </c>
      <c r="F20" s="478">
        <f t="shared" si="0"/>
        <v>1.5</v>
      </c>
      <c r="G20" s="480" t="s">
        <v>600</v>
      </c>
      <c r="H20" s="479" t="s">
        <v>900</v>
      </c>
      <c r="I20" s="479"/>
      <c r="J20" s="484" t="s">
        <v>901</v>
      </c>
      <c r="K20" s="485">
        <f t="shared" ref="K20:N20" si="7">SUM(K21:K26)</f>
        <v>0</v>
      </c>
      <c r="L20" s="485">
        <f t="shared" si="7"/>
        <v>0</v>
      </c>
      <c r="M20" s="485">
        <f t="shared" si="7"/>
        <v>0</v>
      </c>
      <c r="N20" s="485">
        <f t="shared" si="7"/>
        <v>0</v>
      </c>
      <c r="O20" s="493">
        <f t="shared" si="6"/>
        <v>0</v>
      </c>
    </row>
    <row r="21" s="456" customFormat="1" ht="18" customHeight="1" spans="1:15">
      <c r="A21" s="151" t="s">
        <v>933</v>
      </c>
      <c r="B21" s="41">
        <v>52</v>
      </c>
      <c r="C21" s="41"/>
      <c r="D21" s="470">
        <v>88</v>
      </c>
      <c r="E21" s="470">
        <v>125</v>
      </c>
      <c r="F21" s="478">
        <f t="shared" si="0"/>
        <v>140.38</v>
      </c>
      <c r="G21" s="480" t="s">
        <v>600</v>
      </c>
      <c r="H21" s="479" t="s">
        <v>900</v>
      </c>
      <c r="I21" s="480" t="s">
        <v>903</v>
      </c>
      <c r="J21" s="129" t="s">
        <v>605</v>
      </c>
      <c r="K21" s="486"/>
      <c r="L21" s="486"/>
      <c r="M21" s="486"/>
      <c r="N21" s="486"/>
      <c r="O21" s="493">
        <f t="shared" si="6"/>
        <v>0</v>
      </c>
    </row>
    <row r="22" s="456" customFormat="1" ht="18" customHeight="1" spans="1:15">
      <c r="A22" s="468" t="s">
        <v>934</v>
      </c>
      <c r="B22" s="139"/>
      <c r="C22" s="139"/>
      <c r="D22" s="139"/>
      <c r="E22" s="139"/>
      <c r="F22" s="478">
        <f t="shared" si="0"/>
        <v>0</v>
      </c>
      <c r="G22" s="480" t="s">
        <v>600</v>
      </c>
      <c r="H22" s="479" t="s">
        <v>900</v>
      </c>
      <c r="I22" s="480" t="s">
        <v>906</v>
      </c>
      <c r="J22" s="129" t="s">
        <v>607</v>
      </c>
      <c r="K22" s="486"/>
      <c r="L22" s="486"/>
      <c r="M22" s="486"/>
      <c r="N22" s="486"/>
      <c r="O22" s="493">
        <f t="shared" si="6"/>
        <v>0</v>
      </c>
    </row>
    <row r="23" s="456" customFormat="1" ht="18" customHeight="1" spans="1:15">
      <c r="A23" s="468" t="s">
        <v>935</v>
      </c>
      <c r="B23" s="139">
        <f>B24+B25</f>
        <v>0</v>
      </c>
      <c r="C23" s="139">
        <f>C24+C25</f>
        <v>0</v>
      </c>
      <c r="D23" s="139">
        <f>D24+D25</f>
        <v>0</v>
      </c>
      <c r="E23" s="139">
        <f>E24+E25</f>
        <v>0</v>
      </c>
      <c r="F23" s="478">
        <f t="shared" si="0"/>
        <v>0</v>
      </c>
      <c r="G23" s="480" t="s">
        <v>600</v>
      </c>
      <c r="H23" s="479" t="s">
        <v>900</v>
      </c>
      <c r="I23" s="480" t="s">
        <v>909</v>
      </c>
      <c r="J23" s="129" t="s">
        <v>609</v>
      </c>
      <c r="K23" s="486"/>
      <c r="L23" s="486"/>
      <c r="M23" s="486"/>
      <c r="N23" s="486"/>
      <c r="O23" s="492">
        <f t="shared" si="6"/>
        <v>0</v>
      </c>
    </row>
    <row r="24" s="456" customFormat="1" ht="18" customHeight="1" spans="1:15">
      <c r="A24" s="161" t="s">
        <v>936</v>
      </c>
      <c r="B24" s="41"/>
      <c r="C24" s="41"/>
      <c r="D24" s="41"/>
      <c r="E24" s="41"/>
      <c r="F24" s="478">
        <f t="shared" si="0"/>
        <v>0</v>
      </c>
      <c r="G24" s="480" t="s">
        <v>600</v>
      </c>
      <c r="H24" s="479" t="s">
        <v>900</v>
      </c>
      <c r="I24" s="480" t="s">
        <v>911</v>
      </c>
      <c r="J24" s="129" t="s">
        <v>611</v>
      </c>
      <c r="K24" s="486"/>
      <c r="L24" s="486"/>
      <c r="M24" s="486"/>
      <c r="N24" s="486"/>
      <c r="O24" s="493">
        <f t="shared" si="6"/>
        <v>0</v>
      </c>
    </row>
    <row r="25" s="456" customFormat="1" ht="18" customHeight="1" spans="1:15">
      <c r="A25" s="161" t="s">
        <v>937</v>
      </c>
      <c r="B25" s="41"/>
      <c r="C25" s="41"/>
      <c r="D25" s="41"/>
      <c r="E25" s="41"/>
      <c r="F25" s="478">
        <f t="shared" si="0"/>
        <v>0</v>
      </c>
      <c r="G25" s="480" t="s">
        <v>600</v>
      </c>
      <c r="H25" s="479" t="s">
        <v>900</v>
      </c>
      <c r="I25" s="480" t="s">
        <v>928</v>
      </c>
      <c r="J25" s="129" t="s">
        <v>619</v>
      </c>
      <c r="K25" s="486"/>
      <c r="L25" s="486"/>
      <c r="M25" s="486"/>
      <c r="N25" s="486"/>
      <c r="O25" s="493">
        <f t="shared" si="6"/>
        <v>0</v>
      </c>
    </row>
    <row r="26" s="456" customFormat="1" ht="18" customHeight="1" spans="1:15">
      <c r="A26" s="468" t="s">
        <v>938</v>
      </c>
      <c r="B26" s="139"/>
      <c r="C26" s="139"/>
      <c r="D26" s="139"/>
      <c r="E26" s="139"/>
      <c r="F26" s="478">
        <f t="shared" si="0"/>
        <v>0</v>
      </c>
      <c r="G26" s="480" t="s">
        <v>600</v>
      </c>
      <c r="H26" s="479" t="s">
        <v>900</v>
      </c>
      <c r="I26" s="480" t="s">
        <v>913</v>
      </c>
      <c r="J26" s="129" t="s">
        <v>939</v>
      </c>
      <c r="K26" s="486"/>
      <c r="L26" s="486"/>
      <c r="M26" s="486"/>
      <c r="N26" s="486"/>
      <c r="O26" s="493">
        <f t="shared" si="6"/>
        <v>0</v>
      </c>
    </row>
    <row r="27" s="456" customFormat="1" ht="18" customHeight="1" spans="1:15">
      <c r="A27" s="468" t="s">
        <v>940</v>
      </c>
      <c r="B27" s="139"/>
      <c r="C27" s="139"/>
      <c r="D27" s="139"/>
      <c r="E27" s="139"/>
      <c r="F27" s="478">
        <f t="shared" si="0"/>
        <v>0</v>
      </c>
      <c r="G27" s="479" t="s">
        <v>622</v>
      </c>
      <c r="H27" s="479"/>
      <c r="I27" s="479"/>
      <c r="J27" s="484" t="s">
        <v>941</v>
      </c>
      <c r="K27" s="485">
        <f t="shared" ref="K27:N27" si="8">K28+K34+K40+K43</f>
        <v>5</v>
      </c>
      <c r="L27" s="485">
        <f t="shared" si="8"/>
        <v>9</v>
      </c>
      <c r="M27" s="485">
        <f t="shared" si="8"/>
        <v>59</v>
      </c>
      <c r="N27" s="485">
        <f t="shared" si="8"/>
        <v>9</v>
      </c>
      <c r="O27" s="492">
        <f t="shared" si="6"/>
        <v>80</v>
      </c>
    </row>
    <row r="28" s="456" customFormat="1" ht="18" customHeight="1" spans="1:15">
      <c r="A28" s="468" t="s">
        <v>942</v>
      </c>
      <c r="B28" s="139"/>
      <c r="C28" s="139"/>
      <c r="D28" s="139"/>
      <c r="E28" s="139"/>
      <c r="F28" s="478">
        <f t="shared" si="0"/>
        <v>0</v>
      </c>
      <c r="G28" s="479" t="s">
        <v>622</v>
      </c>
      <c r="H28" s="480" t="s">
        <v>943</v>
      </c>
      <c r="I28" s="480"/>
      <c r="J28" s="487" t="s">
        <v>944</v>
      </c>
      <c r="K28" s="139">
        <f t="shared" ref="K28:N28" si="9">SUM(K29:K33)</f>
        <v>5</v>
      </c>
      <c r="L28" s="139">
        <f t="shared" si="9"/>
        <v>9</v>
      </c>
      <c r="M28" s="139">
        <f t="shared" si="9"/>
        <v>9</v>
      </c>
      <c r="N28" s="139">
        <f t="shared" si="9"/>
        <v>9</v>
      </c>
      <c r="O28" s="492">
        <f t="shared" si="6"/>
        <v>80</v>
      </c>
    </row>
    <row r="29" s="456" customFormat="1" ht="18" customHeight="1" spans="1:15">
      <c r="A29" s="468" t="s">
        <v>945</v>
      </c>
      <c r="B29" s="139">
        <f>B30+B31</f>
        <v>0</v>
      </c>
      <c r="C29" s="139">
        <f>C30+C31</f>
        <v>0</v>
      </c>
      <c r="D29" s="139">
        <f>D30+D31</f>
        <v>0</v>
      </c>
      <c r="E29" s="139">
        <f>E30+E31</f>
        <v>0</v>
      </c>
      <c r="F29" s="478">
        <f t="shared" si="0"/>
        <v>0</v>
      </c>
      <c r="G29" s="479" t="s">
        <v>622</v>
      </c>
      <c r="H29" s="480" t="s">
        <v>943</v>
      </c>
      <c r="I29" s="479" t="s">
        <v>903</v>
      </c>
      <c r="J29" s="151" t="s">
        <v>946</v>
      </c>
      <c r="K29" s="486"/>
      <c r="L29" s="486"/>
      <c r="M29" s="486"/>
      <c r="N29" s="486"/>
      <c r="O29" s="493">
        <f t="shared" si="6"/>
        <v>0</v>
      </c>
    </row>
    <row r="30" s="456" customFormat="1" ht="18" customHeight="1" spans="1:15">
      <c r="A30" s="151" t="s">
        <v>947</v>
      </c>
      <c r="B30" s="41"/>
      <c r="C30" s="41"/>
      <c r="D30" s="41"/>
      <c r="E30" s="41"/>
      <c r="F30" s="478">
        <f t="shared" si="0"/>
        <v>0</v>
      </c>
      <c r="G30" s="479" t="s">
        <v>622</v>
      </c>
      <c r="H30" s="480" t="s">
        <v>943</v>
      </c>
      <c r="I30" s="479" t="s">
        <v>906</v>
      </c>
      <c r="J30" s="130" t="s">
        <v>948</v>
      </c>
      <c r="K30" s="486"/>
      <c r="L30" s="486">
        <v>5</v>
      </c>
      <c r="M30" s="486">
        <v>5</v>
      </c>
      <c r="N30" s="486">
        <v>5</v>
      </c>
      <c r="O30" s="494">
        <f>SUM(O31:O34)</f>
        <v>-20</v>
      </c>
    </row>
    <row r="31" s="456" customFormat="1" ht="18" customHeight="1" spans="1:15">
      <c r="A31" s="161" t="s">
        <v>949</v>
      </c>
      <c r="B31" s="41"/>
      <c r="C31" s="41"/>
      <c r="D31" s="41"/>
      <c r="E31" s="41"/>
      <c r="F31" s="478"/>
      <c r="G31" s="479" t="s">
        <v>622</v>
      </c>
      <c r="H31" s="480" t="s">
        <v>943</v>
      </c>
      <c r="I31" s="479" t="s">
        <v>909</v>
      </c>
      <c r="J31" s="130" t="s">
        <v>950</v>
      </c>
      <c r="K31" s="486"/>
      <c r="L31" s="486"/>
      <c r="M31" s="486"/>
      <c r="N31" s="486"/>
      <c r="O31" s="493">
        <f t="shared" ref="O31:O54" si="10">IF(K31=0,0,SUM(N31/K31-1)*100)</f>
        <v>0</v>
      </c>
    </row>
    <row r="32" s="456" customFormat="1" ht="18" customHeight="1" spans="1:15">
      <c r="A32" s="468" t="s">
        <v>951</v>
      </c>
      <c r="B32" s="139">
        <v>116</v>
      </c>
      <c r="C32" s="139">
        <v>700</v>
      </c>
      <c r="D32" s="139">
        <v>110</v>
      </c>
      <c r="E32" s="139">
        <v>217</v>
      </c>
      <c r="F32" s="478">
        <f t="shared" ref="F32:F54" si="11">IF(B32=0,0,SUM(E32/B32-1)*100)</f>
        <v>87.07</v>
      </c>
      <c r="G32" s="479" t="s">
        <v>622</v>
      </c>
      <c r="H32" s="480" t="s">
        <v>943</v>
      </c>
      <c r="I32" s="479" t="s">
        <v>911</v>
      </c>
      <c r="J32" s="130" t="s">
        <v>952</v>
      </c>
      <c r="K32" s="486"/>
      <c r="L32" s="486"/>
      <c r="M32" s="486"/>
      <c r="N32" s="486"/>
      <c r="O32" s="493">
        <f t="shared" si="10"/>
        <v>0</v>
      </c>
    </row>
    <row r="33" s="456" customFormat="1" ht="18" customHeight="1" spans="1:15">
      <c r="A33" s="468" t="s">
        <v>953</v>
      </c>
      <c r="B33" s="139"/>
      <c r="C33" s="139"/>
      <c r="D33" s="139"/>
      <c r="E33" s="139"/>
      <c r="F33" s="478">
        <f t="shared" si="11"/>
        <v>0</v>
      </c>
      <c r="G33" s="479" t="s">
        <v>622</v>
      </c>
      <c r="H33" s="480" t="s">
        <v>943</v>
      </c>
      <c r="I33" s="479" t="s">
        <v>913</v>
      </c>
      <c r="J33" s="130" t="s">
        <v>954</v>
      </c>
      <c r="K33" s="486">
        <v>5</v>
      </c>
      <c r="L33" s="486">
        <v>4</v>
      </c>
      <c r="M33" s="486">
        <v>4</v>
      </c>
      <c r="N33" s="486">
        <v>4</v>
      </c>
      <c r="O33" s="493">
        <f t="shared" si="10"/>
        <v>-20</v>
      </c>
    </row>
    <row r="34" s="456" customFormat="1" ht="18" customHeight="1" spans="1:15">
      <c r="A34" s="468" t="s">
        <v>955</v>
      </c>
      <c r="B34" s="139">
        <f>B35+B36</f>
        <v>0</v>
      </c>
      <c r="C34" s="139">
        <f>C35+C36</f>
        <v>0</v>
      </c>
      <c r="D34" s="139">
        <f>D35+D36</f>
        <v>0</v>
      </c>
      <c r="E34" s="139">
        <f>E35+E36</f>
        <v>0</v>
      </c>
      <c r="F34" s="478">
        <f t="shared" si="11"/>
        <v>0</v>
      </c>
      <c r="G34" s="479" t="s">
        <v>622</v>
      </c>
      <c r="H34" s="480" t="s">
        <v>956</v>
      </c>
      <c r="I34" s="480"/>
      <c r="J34" s="487" t="s">
        <v>957</v>
      </c>
      <c r="K34" s="139">
        <f t="shared" ref="K34:N34" si="12">SUM(K35:K39)</f>
        <v>0</v>
      </c>
      <c r="L34" s="139">
        <f t="shared" si="12"/>
        <v>0</v>
      </c>
      <c r="M34" s="139">
        <f t="shared" si="12"/>
        <v>50</v>
      </c>
      <c r="N34" s="139">
        <f t="shared" si="12"/>
        <v>0</v>
      </c>
      <c r="O34" s="493">
        <f t="shared" si="10"/>
        <v>0</v>
      </c>
    </row>
    <row r="35" s="456" customFormat="1" ht="18" customHeight="1" spans="1:15">
      <c r="A35" s="151" t="s">
        <v>958</v>
      </c>
      <c r="B35" s="41"/>
      <c r="C35" s="41"/>
      <c r="D35" s="41"/>
      <c r="E35" s="41"/>
      <c r="F35" s="478">
        <f t="shared" si="11"/>
        <v>0</v>
      </c>
      <c r="G35" s="479" t="s">
        <v>622</v>
      </c>
      <c r="H35" s="480" t="s">
        <v>956</v>
      </c>
      <c r="I35" s="479" t="s">
        <v>903</v>
      </c>
      <c r="J35" s="130" t="s">
        <v>959</v>
      </c>
      <c r="K35" s="486"/>
      <c r="L35" s="486"/>
      <c r="M35" s="486"/>
      <c r="N35" s="486"/>
      <c r="O35" s="492">
        <f t="shared" si="10"/>
        <v>0</v>
      </c>
    </row>
    <row r="36" s="456" customFormat="1" ht="18" customHeight="1" spans="1:15">
      <c r="A36" s="161" t="s">
        <v>960</v>
      </c>
      <c r="B36" s="41"/>
      <c r="C36" s="41"/>
      <c r="D36" s="41"/>
      <c r="E36" s="41"/>
      <c r="F36" s="478">
        <f t="shared" si="11"/>
        <v>0</v>
      </c>
      <c r="G36" s="479" t="s">
        <v>622</v>
      </c>
      <c r="H36" s="480" t="s">
        <v>956</v>
      </c>
      <c r="I36" s="479" t="s">
        <v>906</v>
      </c>
      <c r="J36" s="151" t="s">
        <v>961</v>
      </c>
      <c r="K36" s="486"/>
      <c r="L36" s="486"/>
      <c r="M36" s="486"/>
      <c r="N36" s="486"/>
      <c r="O36" s="492">
        <f t="shared" si="10"/>
        <v>0</v>
      </c>
    </row>
    <row r="37" s="456" customFormat="1" ht="18" customHeight="1" spans="1:15">
      <c r="A37" s="468" t="s">
        <v>962</v>
      </c>
      <c r="B37" s="139"/>
      <c r="C37" s="139"/>
      <c r="D37" s="139"/>
      <c r="E37" s="139"/>
      <c r="F37" s="478">
        <f t="shared" si="11"/>
        <v>0</v>
      </c>
      <c r="G37" s="479" t="s">
        <v>622</v>
      </c>
      <c r="H37" s="480" t="s">
        <v>956</v>
      </c>
      <c r="I37" s="479" t="s">
        <v>909</v>
      </c>
      <c r="J37" s="151" t="s">
        <v>963</v>
      </c>
      <c r="K37" s="486"/>
      <c r="L37" s="486"/>
      <c r="M37" s="486"/>
      <c r="N37" s="486"/>
      <c r="O37" s="492">
        <f t="shared" si="10"/>
        <v>0</v>
      </c>
    </row>
    <row r="38" s="456" customFormat="1" ht="18" customHeight="1" spans="1:15">
      <c r="A38" s="468" t="s">
        <v>964</v>
      </c>
      <c r="B38" s="139"/>
      <c r="C38" s="139"/>
      <c r="D38" s="139"/>
      <c r="E38" s="139"/>
      <c r="F38" s="478">
        <f t="shared" si="11"/>
        <v>0</v>
      </c>
      <c r="G38" s="479" t="s">
        <v>622</v>
      </c>
      <c r="H38" s="480" t="s">
        <v>956</v>
      </c>
      <c r="I38" s="479" t="s">
        <v>911</v>
      </c>
      <c r="J38" s="151" t="s">
        <v>965</v>
      </c>
      <c r="K38" s="485"/>
      <c r="L38" s="485"/>
      <c r="M38" s="485">
        <v>50</v>
      </c>
      <c r="N38" s="485"/>
      <c r="O38" s="493">
        <f t="shared" si="10"/>
        <v>0</v>
      </c>
    </row>
    <row r="39" s="456" customFormat="1" ht="18" customHeight="1" spans="1:15">
      <c r="A39" s="468" t="s">
        <v>966</v>
      </c>
      <c r="B39" s="139"/>
      <c r="C39" s="139"/>
      <c r="D39" s="139"/>
      <c r="E39" s="139"/>
      <c r="F39" s="478">
        <f t="shared" si="11"/>
        <v>0</v>
      </c>
      <c r="G39" s="479" t="s">
        <v>622</v>
      </c>
      <c r="H39" s="480" t="s">
        <v>956</v>
      </c>
      <c r="I39" s="479" t="s">
        <v>913</v>
      </c>
      <c r="J39" s="151" t="s">
        <v>967</v>
      </c>
      <c r="K39" s="486"/>
      <c r="L39" s="486"/>
      <c r="M39" s="486"/>
      <c r="N39" s="486"/>
      <c r="O39" s="493">
        <f t="shared" si="10"/>
        <v>0</v>
      </c>
    </row>
    <row r="40" s="456" customFormat="1" ht="18" customHeight="1" spans="1:15">
      <c r="A40" s="468" t="s">
        <v>968</v>
      </c>
      <c r="B40" s="139"/>
      <c r="C40" s="139"/>
      <c r="D40" s="139"/>
      <c r="E40" s="139"/>
      <c r="F40" s="478">
        <f t="shared" si="11"/>
        <v>0</v>
      </c>
      <c r="G40" s="479" t="s">
        <v>622</v>
      </c>
      <c r="H40" s="480" t="s">
        <v>917</v>
      </c>
      <c r="I40" s="480"/>
      <c r="J40" s="487" t="s">
        <v>969</v>
      </c>
      <c r="K40" s="139">
        <f t="shared" ref="K40:N40" si="13">SUM(K41:K42)</f>
        <v>0</v>
      </c>
      <c r="L40" s="139">
        <f t="shared" si="13"/>
        <v>0</v>
      </c>
      <c r="M40" s="139">
        <f t="shared" si="13"/>
        <v>0</v>
      </c>
      <c r="N40" s="139">
        <f t="shared" si="13"/>
        <v>0</v>
      </c>
      <c r="O40" s="493">
        <f t="shared" si="10"/>
        <v>0</v>
      </c>
    </row>
    <row r="41" s="456" customFormat="1" ht="18" customHeight="1" spans="1:15">
      <c r="A41" s="468" t="s">
        <v>970</v>
      </c>
      <c r="B41" s="139">
        <f>B42+B43</f>
        <v>0</v>
      </c>
      <c r="C41" s="139">
        <f>C42+C43</f>
        <v>0</v>
      </c>
      <c r="D41" s="139">
        <f>D42+D43</f>
        <v>0</v>
      </c>
      <c r="E41" s="139">
        <f>E42+E43</f>
        <v>0</v>
      </c>
      <c r="F41" s="478">
        <f t="shared" si="11"/>
        <v>0</v>
      </c>
      <c r="G41" s="479" t="s">
        <v>622</v>
      </c>
      <c r="H41" s="480" t="s">
        <v>917</v>
      </c>
      <c r="I41" s="480" t="s">
        <v>903</v>
      </c>
      <c r="J41" s="151" t="s">
        <v>971</v>
      </c>
      <c r="K41" s="486"/>
      <c r="L41" s="486"/>
      <c r="M41" s="486"/>
      <c r="N41" s="486"/>
      <c r="O41" s="493">
        <f t="shared" si="10"/>
        <v>0</v>
      </c>
    </row>
    <row r="42" s="456" customFormat="1" ht="18" customHeight="1" spans="1:15">
      <c r="A42" s="151" t="s">
        <v>972</v>
      </c>
      <c r="B42" s="41"/>
      <c r="C42" s="41"/>
      <c r="D42" s="41"/>
      <c r="E42" s="41"/>
      <c r="F42" s="478">
        <f t="shared" si="11"/>
        <v>0</v>
      </c>
      <c r="G42" s="479" t="s">
        <v>622</v>
      </c>
      <c r="H42" s="480" t="s">
        <v>917</v>
      </c>
      <c r="I42" s="480" t="s">
        <v>913</v>
      </c>
      <c r="J42" s="151" t="s">
        <v>973</v>
      </c>
      <c r="K42" s="486"/>
      <c r="L42" s="486"/>
      <c r="M42" s="486"/>
      <c r="N42" s="486"/>
      <c r="O42" s="493">
        <f t="shared" si="10"/>
        <v>0</v>
      </c>
    </row>
    <row r="43" s="456" customFormat="1" ht="18" customHeight="1" spans="1:15">
      <c r="A43" s="161" t="s">
        <v>974</v>
      </c>
      <c r="B43" s="41"/>
      <c r="C43" s="41"/>
      <c r="D43" s="41"/>
      <c r="E43" s="41"/>
      <c r="F43" s="478">
        <f t="shared" si="11"/>
        <v>0</v>
      </c>
      <c r="G43" s="479" t="s">
        <v>622</v>
      </c>
      <c r="H43" s="479" t="s">
        <v>900</v>
      </c>
      <c r="I43" s="479"/>
      <c r="J43" s="484" t="s">
        <v>901</v>
      </c>
      <c r="K43" s="139">
        <f t="shared" ref="K43:N43" si="14">SUM(K44:K49)</f>
        <v>0</v>
      </c>
      <c r="L43" s="139">
        <f t="shared" si="14"/>
        <v>0</v>
      </c>
      <c r="M43" s="139">
        <f t="shared" si="14"/>
        <v>0</v>
      </c>
      <c r="N43" s="139">
        <f t="shared" si="14"/>
        <v>0</v>
      </c>
      <c r="O43" s="492">
        <f t="shared" si="10"/>
        <v>0</v>
      </c>
    </row>
    <row r="44" s="456" customFormat="1" ht="18" customHeight="1" spans="1:15">
      <c r="A44" s="468" t="s">
        <v>975</v>
      </c>
      <c r="B44" s="139">
        <v>600</v>
      </c>
      <c r="C44" s="139">
        <v>600</v>
      </c>
      <c r="D44" s="139">
        <v>376</v>
      </c>
      <c r="E44" s="139">
        <v>447</v>
      </c>
      <c r="F44" s="478">
        <f t="shared" si="11"/>
        <v>-25.5</v>
      </c>
      <c r="G44" s="479" t="s">
        <v>622</v>
      </c>
      <c r="H44" s="479" t="s">
        <v>900</v>
      </c>
      <c r="I44" s="480" t="s">
        <v>903</v>
      </c>
      <c r="J44" s="129" t="s">
        <v>625</v>
      </c>
      <c r="K44" s="486"/>
      <c r="L44" s="486"/>
      <c r="M44" s="486"/>
      <c r="N44" s="486"/>
      <c r="O44" s="493">
        <f t="shared" si="10"/>
        <v>0</v>
      </c>
    </row>
    <row r="45" s="456" customFormat="1" ht="18" customHeight="1" spans="1:15">
      <c r="A45" s="468" t="s">
        <v>976</v>
      </c>
      <c r="B45" s="139">
        <f>SUM(B46:B52)</f>
        <v>0</v>
      </c>
      <c r="C45" s="139">
        <f>SUM(C46:C52)</f>
        <v>0</v>
      </c>
      <c r="D45" s="139">
        <f>SUM(D46:D52)</f>
        <v>0</v>
      </c>
      <c r="E45" s="139">
        <f>SUM(E46:E52)</f>
        <v>0</v>
      </c>
      <c r="F45" s="478">
        <f t="shared" si="11"/>
        <v>0</v>
      </c>
      <c r="G45" s="479" t="s">
        <v>622</v>
      </c>
      <c r="H45" s="479" t="s">
        <v>900</v>
      </c>
      <c r="I45" s="480" t="s">
        <v>906</v>
      </c>
      <c r="J45" s="129" t="s">
        <v>627</v>
      </c>
      <c r="K45" s="486"/>
      <c r="L45" s="486"/>
      <c r="M45" s="486"/>
      <c r="N45" s="486"/>
      <c r="O45" s="493">
        <f t="shared" si="10"/>
        <v>0</v>
      </c>
    </row>
    <row r="46" s="456" customFormat="1" ht="18" customHeight="1" spans="1:15">
      <c r="A46" s="130" t="s">
        <v>977</v>
      </c>
      <c r="B46" s="41"/>
      <c r="C46" s="41"/>
      <c r="D46" s="41"/>
      <c r="E46" s="41"/>
      <c r="F46" s="478">
        <f t="shared" si="11"/>
        <v>0</v>
      </c>
      <c r="G46" s="479" t="s">
        <v>622</v>
      </c>
      <c r="H46" s="479" t="s">
        <v>900</v>
      </c>
      <c r="I46" s="480" t="s">
        <v>909</v>
      </c>
      <c r="J46" s="129" t="s">
        <v>629</v>
      </c>
      <c r="K46" s="486"/>
      <c r="L46" s="486"/>
      <c r="M46" s="486"/>
      <c r="N46" s="486"/>
      <c r="O46" s="493">
        <f t="shared" si="10"/>
        <v>0</v>
      </c>
    </row>
    <row r="47" s="456" customFormat="1" ht="18" customHeight="1" spans="1:15">
      <c r="A47" s="151" t="s">
        <v>978</v>
      </c>
      <c r="B47" s="41"/>
      <c r="C47" s="41"/>
      <c r="D47" s="41"/>
      <c r="E47" s="41"/>
      <c r="F47" s="478">
        <f t="shared" si="11"/>
        <v>0</v>
      </c>
      <c r="G47" s="479" t="s">
        <v>622</v>
      </c>
      <c r="H47" s="479" t="s">
        <v>900</v>
      </c>
      <c r="I47" s="480" t="s">
        <v>911</v>
      </c>
      <c r="J47" s="129" t="s">
        <v>631</v>
      </c>
      <c r="K47" s="486"/>
      <c r="L47" s="486"/>
      <c r="M47" s="486"/>
      <c r="N47" s="486"/>
      <c r="O47" s="493">
        <f t="shared" si="10"/>
        <v>0</v>
      </c>
    </row>
    <row r="48" s="456" customFormat="1" ht="18" customHeight="1" spans="1:15">
      <c r="A48" s="151" t="s">
        <v>979</v>
      </c>
      <c r="B48" s="41"/>
      <c r="C48" s="41"/>
      <c r="D48" s="41"/>
      <c r="E48" s="41"/>
      <c r="F48" s="478">
        <f t="shared" si="11"/>
        <v>0</v>
      </c>
      <c r="G48" s="479" t="s">
        <v>622</v>
      </c>
      <c r="H48" s="479" t="s">
        <v>900</v>
      </c>
      <c r="I48" s="480" t="s">
        <v>928</v>
      </c>
      <c r="J48" s="129" t="s">
        <v>633</v>
      </c>
      <c r="K48" s="486"/>
      <c r="L48" s="486"/>
      <c r="M48" s="486"/>
      <c r="N48" s="486"/>
      <c r="O48" s="493">
        <f t="shared" si="10"/>
        <v>0</v>
      </c>
    </row>
    <row r="49" s="456" customFormat="1" ht="18" customHeight="1" spans="1:15">
      <c r="A49" s="151" t="s">
        <v>980</v>
      </c>
      <c r="B49" s="41"/>
      <c r="C49" s="41"/>
      <c r="D49" s="41"/>
      <c r="E49" s="41"/>
      <c r="F49" s="478">
        <f t="shared" si="11"/>
        <v>0</v>
      </c>
      <c r="G49" s="479" t="s">
        <v>622</v>
      </c>
      <c r="H49" s="479" t="s">
        <v>900</v>
      </c>
      <c r="I49" s="480" t="s">
        <v>913</v>
      </c>
      <c r="J49" s="129" t="s">
        <v>981</v>
      </c>
      <c r="K49" s="486"/>
      <c r="L49" s="486"/>
      <c r="M49" s="486"/>
      <c r="N49" s="486"/>
      <c r="O49" s="493">
        <f t="shared" si="10"/>
        <v>0</v>
      </c>
    </row>
    <row r="50" s="456" customFormat="1" ht="18" customHeight="1" spans="1:15">
      <c r="A50" s="151" t="s">
        <v>982</v>
      </c>
      <c r="B50" s="41"/>
      <c r="C50" s="41"/>
      <c r="D50" s="41"/>
      <c r="E50" s="41"/>
      <c r="F50" s="478">
        <f t="shared" si="11"/>
        <v>0</v>
      </c>
      <c r="G50" s="479" t="s">
        <v>636</v>
      </c>
      <c r="H50" s="479"/>
      <c r="I50" s="479"/>
      <c r="J50" s="484" t="s">
        <v>983</v>
      </c>
      <c r="K50" s="485">
        <f t="shared" ref="K50:N50" si="15">K51</f>
        <v>0</v>
      </c>
      <c r="L50" s="485">
        <f t="shared" si="15"/>
        <v>0</v>
      </c>
      <c r="M50" s="485">
        <f t="shared" si="15"/>
        <v>0</v>
      </c>
      <c r="N50" s="485">
        <f t="shared" si="15"/>
        <v>0</v>
      </c>
      <c r="O50" s="493">
        <f t="shared" si="10"/>
        <v>0</v>
      </c>
    </row>
    <row r="51" s="456" customFormat="1" ht="18" customHeight="1" spans="1:15">
      <c r="A51" s="151" t="s">
        <v>984</v>
      </c>
      <c r="B51" s="41"/>
      <c r="C51" s="41"/>
      <c r="D51" s="41"/>
      <c r="E51" s="41"/>
      <c r="F51" s="478">
        <f t="shared" si="11"/>
        <v>0</v>
      </c>
      <c r="G51" s="479" t="s">
        <v>636</v>
      </c>
      <c r="H51" s="479" t="s">
        <v>900</v>
      </c>
      <c r="I51" s="479"/>
      <c r="J51" s="484" t="s">
        <v>901</v>
      </c>
      <c r="K51" s="139">
        <f t="shared" ref="K51:N51" si="16">SUM(K52:K54)</f>
        <v>0</v>
      </c>
      <c r="L51" s="139">
        <f t="shared" si="16"/>
        <v>0</v>
      </c>
      <c r="M51" s="139">
        <f t="shared" si="16"/>
        <v>0</v>
      </c>
      <c r="N51" s="139">
        <f t="shared" si="16"/>
        <v>0</v>
      </c>
      <c r="O51" s="493">
        <f t="shared" si="10"/>
        <v>0</v>
      </c>
    </row>
    <row r="52" s="456" customFormat="1" ht="18" customHeight="1" spans="1:15">
      <c r="A52" s="151" t="s">
        <v>985</v>
      </c>
      <c r="B52" s="41"/>
      <c r="C52" s="41"/>
      <c r="D52" s="41"/>
      <c r="E52" s="41"/>
      <c r="F52" s="478">
        <f t="shared" si="11"/>
        <v>0</v>
      </c>
      <c r="G52" s="479" t="s">
        <v>636</v>
      </c>
      <c r="H52" s="479" t="s">
        <v>900</v>
      </c>
      <c r="I52" s="479" t="s">
        <v>903</v>
      </c>
      <c r="J52" s="129" t="s">
        <v>986</v>
      </c>
      <c r="K52" s="486"/>
      <c r="L52" s="486"/>
      <c r="M52" s="486"/>
      <c r="N52" s="486"/>
      <c r="O52" s="493">
        <f t="shared" si="10"/>
        <v>0</v>
      </c>
    </row>
    <row r="53" s="456" customFormat="1" ht="18" customHeight="1" spans="1:15">
      <c r="A53" s="468" t="s">
        <v>987</v>
      </c>
      <c r="B53" s="139"/>
      <c r="C53" s="139"/>
      <c r="D53" s="139"/>
      <c r="E53" s="139"/>
      <c r="F53" s="478">
        <f t="shared" si="11"/>
        <v>0</v>
      </c>
      <c r="G53" s="479" t="s">
        <v>636</v>
      </c>
      <c r="H53" s="479" t="s">
        <v>900</v>
      </c>
      <c r="I53" s="479" t="s">
        <v>906</v>
      </c>
      <c r="J53" s="129" t="s">
        <v>988</v>
      </c>
      <c r="K53" s="486"/>
      <c r="L53" s="486"/>
      <c r="M53" s="486"/>
      <c r="N53" s="486"/>
      <c r="O53" s="492">
        <f t="shared" si="10"/>
        <v>0</v>
      </c>
    </row>
    <row r="54" s="456" customFormat="1" ht="18" customHeight="1" spans="1:15">
      <c r="A54" s="468" t="s">
        <v>989</v>
      </c>
      <c r="B54" s="139"/>
      <c r="C54" s="139"/>
      <c r="D54" s="139"/>
      <c r="E54" s="139"/>
      <c r="F54" s="478">
        <f t="shared" si="11"/>
        <v>0</v>
      </c>
      <c r="G54" s="479" t="s">
        <v>636</v>
      </c>
      <c r="H54" s="479" t="s">
        <v>900</v>
      </c>
      <c r="I54" s="479" t="s">
        <v>913</v>
      </c>
      <c r="J54" s="129" t="s">
        <v>679</v>
      </c>
      <c r="K54" s="486"/>
      <c r="L54" s="486"/>
      <c r="M54" s="486"/>
      <c r="N54" s="486"/>
      <c r="O54" s="493">
        <f t="shared" si="10"/>
        <v>0</v>
      </c>
    </row>
    <row r="55" s="456" customFormat="1" ht="18" customHeight="1" spans="1:15">
      <c r="A55" s="468" t="s">
        <v>990</v>
      </c>
      <c r="B55" s="139"/>
      <c r="C55" s="139"/>
      <c r="D55" s="139"/>
      <c r="E55" s="139"/>
      <c r="F55" s="478"/>
      <c r="G55" s="479" t="s">
        <v>680</v>
      </c>
      <c r="H55" s="479" t="s">
        <v>900</v>
      </c>
      <c r="I55" s="479"/>
      <c r="J55" s="484" t="s">
        <v>991</v>
      </c>
      <c r="K55" s="486"/>
      <c r="L55" s="486"/>
      <c r="M55" s="486"/>
      <c r="N55" s="486"/>
      <c r="O55" s="493"/>
    </row>
    <row r="56" s="456" customFormat="1" ht="18" customHeight="1" spans="1:15">
      <c r="A56" s="468" t="s">
        <v>992</v>
      </c>
      <c r="B56" s="139"/>
      <c r="C56" s="139"/>
      <c r="D56" s="139"/>
      <c r="E56" s="139"/>
      <c r="F56" s="478"/>
      <c r="G56" s="479" t="s">
        <v>680</v>
      </c>
      <c r="H56" s="479" t="s">
        <v>900</v>
      </c>
      <c r="I56" s="479"/>
      <c r="J56" s="484" t="s">
        <v>901</v>
      </c>
      <c r="K56" s="486"/>
      <c r="L56" s="486"/>
      <c r="M56" s="486"/>
      <c r="N56" s="486"/>
      <c r="O56" s="493">
        <f t="shared" ref="O56:O67" si="17">IF(K56=0,0,SUM(N56/K56-1)*100)</f>
        <v>0</v>
      </c>
    </row>
    <row r="57" s="456" customFormat="1" ht="18" customHeight="1" spans="1:15">
      <c r="A57" s="468" t="s">
        <v>993</v>
      </c>
      <c r="B57" s="139">
        <f>B58+B59+B60+B64+B65+B66+B67+B68+B69+B72+B73</f>
        <v>148</v>
      </c>
      <c r="C57" s="139">
        <f>C58+C59+C60+C64+C65+C66+C67+C68+C69+C72+C73</f>
        <v>0</v>
      </c>
      <c r="D57" s="139">
        <f>D58+D59+D60+D64+D65+D66+D67+D68+D69+D72+D73</f>
        <v>1999</v>
      </c>
      <c r="E57" s="139">
        <f>E58+E59+E60+E64+E65+E66+E67+E68+E69+E72+E73</f>
        <v>1630</v>
      </c>
      <c r="F57" s="478"/>
      <c r="G57" s="479" t="s">
        <v>680</v>
      </c>
      <c r="H57" s="479" t="s">
        <v>900</v>
      </c>
      <c r="I57" s="479" t="s">
        <v>903</v>
      </c>
      <c r="J57" s="129" t="s">
        <v>685</v>
      </c>
      <c r="K57" s="485">
        <f t="shared" ref="K57:N57" si="18">K58+K63+K68</f>
        <v>0</v>
      </c>
      <c r="L57" s="485">
        <f t="shared" si="18"/>
        <v>0</v>
      </c>
      <c r="M57" s="485">
        <f t="shared" si="18"/>
        <v>0</v>
      </c>
      <c r="N57" s="485">
        <f t="shared" si="18"/>
        <v>0</v>
      </c>
      <c r="O57" s="492">
        <f t="shared" si="17"/>
        <v>0</v>
      </c>
    </row>
    <row r="58" s="456" customFormat="1" ht="18" customHeight="1" spans="1:15">
      <c r="A58" s="468" t="s">
        <v>994</v>
      </c>
      <c r="B58" s="139"/>
      <c r="C58" s="139"/>
      <c r="D58" s="139"/>
      <c r="E58" s="139"/>
      <c r="F58" s="478">
        <f t="shared" ref="F58:F90" si="19">IF(B58=0,0,SUM(E58/B58-1)*100)</f>
        <v>0</v>
      </c>
      <c r="G58" s="479" t="s">
        <v>680</v>
      </c>
      <c r="H58" s="479" t="s">
        <v>900</v>
      </c>
      <c r="I58" s="479" t="s">
        <v>906</v>
      </c>
      <c r="J58" s="129" t="s">
        <v>687</v>
      </c>
      <c r="K58" s="139">
        <f t="shared" ref="K58:N58" si="20">SUM(K59:K62)</f>
        <v>0</v>
      </c>
      <c r="L58" s="139">
        <f t="shared" si="20"/>
        <v>0</v>
      </c>
      <c r="M58" s="139">
        <f t="shared" si="20"/>
        <v>0</v>
      </c>
      <c r="N58" s="139">
        <f t="shared" si="20"/>
        <v>0</v>
      </c>
      <c r="O58" s="493">
        <f t="shared" si="17"/>
        <v>0</v>
      </c>
    </row>
    <row r="59" s="456" customFormat="1" ht="18" customHeight="1" spans="1:15">
      <c r="A59" s="468" t="s">
        <v>995</v>
      </c>
      <c r="B59" s="139"/>
      <c r="C59" s="139"/>
      <c r="D59" s="139"/>
      <c r="E59" s="139"/>
      <c r="F59" s="478">
        <f t="shared" si="19"/>
        <v>0</v>
      </c>
      <c r="G59" s="479" t="s">
        <v>680</v>
      </c>
      <c r="H59" s="479" t="s">
        <v>900</v>
      </c>
      <c r="I59" s="479" t="s">
        <v>909</v>
      </c>
      <c r="J59" s="129" t="s">
        <v>996</v>
      </c>
      <c r="K59" s="486"/>
      <c r="L59" s="486"/>
      <c r="M59" s="486"/>
      <c r="N59" s="486"/>
      <c r="O59" s="493">
        <f t="shared" si="17"/>
        <v>0</v>
      </c>
    </row>
    <row r="60" s="456" customFormat="1" ht="18" customHeight="1" spans="1:15">
      <c r="A60" s="468" t="s">
        <v>997</v>
      </c>
      <c r="B60" s="139">
        <f>SUM(B61:B63)</f>
        <v>0</v>
      </c>
      <c r="C60" s="139">
        <f>SUM(C61:C63)</f>
        <v>0</v>
      </c>
      <c r="D60" s="139">
        <f>SUM(D61:D63)</f>
        <v>0</v>
      </c>
      <c r="E60" s="139">
        <f>SUM(E61:E63)</f>
        <v>0</v>
      </c>
      <c r="F60" s="478">
        <f t="shared" si="19"/>
        <v>0</v>
      </c>
      <c r="G60" s="479" t="s">
        <v>680</v>
      </c>
      <c r="H60" s="479" t="s">
        <v>900</v>
      </c>
      <c r="I60" s="479" t="s">
        <v>911</v>
      </c>
      <c r="J60" s="129" t="s">
        <v>998</v>
      </c>
      <c r="K60" s="486"/>
      <c r="L60" s="486"/>
      <c r="M60" s="486"/>
      <c r="N60" s="486"/>
      <c r="O60" s="493">
        <f t="shared" si="17"/>
        <v>0</v>
      </c>
    </row>
    <row r="61" s="456" customFormat="1" ht="18" customHeight="1" spans="1:15">
      <c r="A61" s="151" t="s">
        <v>999</v>
      </c>
      <c r="B61" s="41"/>
      <c r="C61" s="41"/>
      <c r="D61" s="41"/>
      <c r="E61" s="41"/>
      <c r="F61" s="478">
        <f t="shared" si="19"/>
        <v>0</v>
      </c>
      <c r="G61" s="479" t="s">
        <v>680</v>
      </c>
      <c r="H61" s="479" t="s">
        <v>900</v>
      </c>
      <c r="I61" s="479" t="s">
        <v>913</v>
      </c>
      <c r="J61" s="129" t="s">
        <v>1000</v>
      </c>
      <c r="K61" s="486"/>
      <c r="L61" s="486"/>
      <c r="M61" s="486"/>
      <c r="N61" s="486"/>
      <c r="O61" s="493">
        <f t="shared" si="17"/>
        <v>0</v>
      </c>
    </row>
    <row r="62" s="456" customFormat="1" ht="18" customHeight="1" spans="1:15">
      <c r="A62" s="151" t="s">
        <v>1001</v>
      </c>
      <c r="B62" s="41"/>
      <c r="C62" s="41"/>
      <c r="D62" s="41"/>
      <c r="E62" s="41"/>
      <c r="F62" s="478">
        <f t="shared" si="19"/>
        <v>0</v>
      </c>
      <c r="G62" s="479" t="s">
        <v>710</v>
      </c>
      <c r="H62" s="479"/>
      <c r="I62" s="479"/>
      <c r="J62" s="484" t="s">
        <v>1002</v>
      </c>
      <c r="K62" s="486"/>
      <c r="L62" s="486"/>
      <c r="M62" s="486"/>
      <c r="N62" s="486"/>
      <c r="O62" s="493">
        <f t="shared" si="17"/>
        <v>0</v>
      </c>
    </row>
    <row r="63" s="456" customFormat="1" ht="18" customHeight="1" spans="1:15">
      <c r="A63" s="151" t="s">
        <v>1003</v>
      </c>
      <c r="B63" s="41"/>
      <c r="C63" s="41"/>
      <c r="D63" s="41"/>
      <c r="E63" s="41"/>
      <c r="F63" s="478">
        <f t="shared" si="19"/>
        <v>0</v>
      </c>
      <c r="G63" s="479" t="s">
        <v>710</v>
      </c>
      <c r="H63" s="479" t="s">
        <v>1004</v>
      </c>
      <c r="I63" s="479"/>
      <c r="J63" s="484" t="s">
        <v>1005</v>
      </c>
      <c r="K63" s="139">
        <f t="shared" ref="K63:N63" si="21">SUM(K64:K67)</f>
        <v>0</v>
      </c>
      <c r="L63" s="139">
        <f t="shared" si="21"/>
        <v>0</v>
      </c>
      <c r="M63" s="139">
        <f t="shared" si="21"/>
        <v>0</v>
      </c>
      <c r="N63" s="139">
        <f t="shared" si="21"/>
        <v>0</v>
      </c>
      <c r="O63" s="492">
        <f t="shared" si="17"/>
        <v>0</v>
      </c>
    </row>
    <row r="64" s="456" customFormat="1" ht="18" customHeight="1" spans="1:15">
      <c r="A64" s="468" t="s">
        <v>1006</v>
      </c>
      <c r="B64" s="139"/>
      <c r="C64" s="139"/>
      <c r="D64" s="139"/>
      <c r="E64" s="139"/>
      <c r="F64" s="478">
        <f t="shared" si="19"/>
        <v>0</v>
      </c>
      <c r="G64" s="479" t="s">
        <v>710</v>
      </c>
      <c r="H64" s="479" t="s">
        <v>1004</v>
      </c>
      <c r="I64" s="480" t="s">
        <v>903</v>
      </c>
      <c r="J64" s="151" t="s">
        <v>1007</v>
      </c>
      <c r="K64" s="486"/>
      <c r="L64" s="486"/>
      <c r="M64" s="486"/>
      <c r="N64" s="486"/>
      <c r="O64" s="492">
        <f t="shared" si="17"/>
        <v>0</v>
      </c>
    </row>
    <row r="65" s="456" customFormat="1" ht="18" customHeight="1" spans="1:15">
      <c r="A65" s="468" t="s">
        <v>1008</v>
      </c>
      <c r="B65" s="139"/>
      <c r="C65" s="139"/>
      <c r="D65" s="139"/>
      <c r="E65" s="139"/>
      <c r="F65" s="478">
        <f t="shared" si="19"/>
        <v>0</v>
      </c>
      <c r="G65" s="479" t="s">
        <v>710</v>
      </c>
      <c r="H65" s="479" t="s">
        <v>1004</v>
      </c>
      <c r="I65" s="480" t="s">
        <v>906</v>
      </c>
      <c r="J65" s="151" t="s">
        <v>1009</v>
      </c>
      <c r="K65" s="486"/>
      <c r="L65" s="486"/>
      <c r="M65" s="486"/>
      <c r="N65" s="486"/>
      <c r="O65" s="493">
        <f t="shared" si="17"/>
        <v>0</v>
      </c>
    </row>
    <row r="66" s="456" customFormat="1" ht="18" customHeight="1" spans="1:15">
      <c r="A66" s="468" t="s">
        <v>1010</v>
      </c>
      <c r="B66" s="139"/>
      <c r="C66" s="139"/>
      <c r="D66" s="139"/>
      <c r="E66" s="139"/>
      <c r="F66" s="478">
        <f t="shared" si="19"/>
        <v>0</v>
      </c>
      <c r="G66" s="479" t="s">
        <v>710</v>
      </c>
      <c r="H66" s="479" t="s">
        <v>1004</v>
      </c>
      <c r="I66" s="480" t="s">
        <v>909</v>
      </c>
      <c r="J66" s="151" t="s">
        <v>1011</v>
      </c>
      <c r="K66" s="486"/>
      <c r="L66" s="486"/>
      <c r="M66" s="486"/>
      <c r="N66" s="486"/>
      <c r="O66" s="493">
        <f t="shared" si="17"/>
        <v>0</v>
      </c>
    </row>
    <row r="67" s="456" customFormat="1" ht="18" customHeight="1" spans="1:15">
      <c r="A67" s="468" t="s">
        <v>1012</v>
      </c>
      <c r="B67" s="139"/>
      <c r="C67" s="139"/>
      <c r="D67" s="139"/>
      <c r="E67" s="139"/>
      <c r="F67" s="478">
        <f t="shared" si="19"/>
        <v>0</v>
      </c>
      <c r="G67" s="479" t="s">
        <v>710</v>
      </c>
      <c r="H67" s="479" t="s">
        <v>1004</v>
      </c>
      <c r="I67" s="480" t="s">
        <v>913</v>
      </c>
      <c r="J67" s="151" t="s">
        <v>1013</v>
      </c>
      <c r="K67" s="486"/>
      <c r="L67" s="486"/>
      <c r="M67" s="486"/>
      <c r="N67" s="486"/>
      <c r="O67" s="492">
        <f t="shared" si="17"/>
        <v>0</v>
      </c>
    </row>
    <row r="68" s="456" customFormat="1" ht="18" customHeight="1" spans="1:15">
      <c r="A68" s="468" t="s">
        <v>1014</v>
      </c>
      <c r="B68" s="139"/>
      <c r="C68" s="139"/>
      <c r="D68" s="139"/>
      <c r="E68" s="139"/>
      <c r="F68" s="478">
        <f t="shared" si="19"/>
        <v>0</v>
      </c>
      <c r="G68" s="479" t="s">
        <v>710</v>
      </c>
      <c r="H68" s="479" t="s">
        <v>900</v>
      </c>
      <c r="I68" s="479"/>
      <c r="J68" s="484" t="s">
        <v>901</v>
      </c>
      <c r="K68" s="139">
        <f t="shared" ref="K68:N68" si="22">SUM(K69:K72)</f>
        <v>0</v>
      </c>
      <c r="L68" s="139">
        <f t="shared" si="22"/>
        <v>0</v>
      </c>
      <c r="M68" s="139">
        <f t="shared" si="22"/>
        <v>0</v>
      </c>
      <c r="N68" s="139">
        <f t="shared" si="22"/>
        <v>0</v>
      </c>
      <c r="O68" s="492"/>
    </row>
    <row r="69" s="456" customFormat="1" ht="18" customHeight="1" spans="1:15">
      <c r="A69" s="468" t="s">
        <v>1015</v>
      </c>
      <c r="B69" s="139">
        <f>SUM(B70:B71)</f>
        <v>0</v>
      </c>
      <c r="C69" s="139">
        <f>SUM(C70:C71)</f>
        <v>0</v>
      </c>
      <c r="D69" s="139">
        <f>SUM(D70:D71)</f>
        <v>0</v>
      </c>
      <c r="E69" s="139">
        <f>SUM(E70:E71)</f>
        <v>0</v>
      </c>
      <c r="F69" s="478">
        <f t="shared" si="19"/>
        <v>0</v>
      </c>
      <c r="G69" s="479" t="s">
        <v>710</v>
      </c>
      <c r="H69" s="479" t="s">
        <v>900</v>
      </c>
      <c r="I69" s="480" t="s">
        <v>903</v>
      </c>
      <c r="J69" s="129" t="s">
        <v>1016</v>
      </c>
      <c r="K69" s="486"/>
      <c r="L69" s="486"/>
      <c r="M69" s="486"/>
      <c r="N69" s="486"/>
      <c r="O69" s="493"/>
    </row>
    <row r="70" s="456" customFormat="1" ht="18" customHeight="1" spans="1:15">
      <c r="A70" s="151" t="s">
        <v>1017</v>
      </c>
      <c r="B70" s="41"/>
      <c r="C70" s="41"/>
      <c r="D70" s="41"/>
      <c r="E70" s="41"/>
      <c r="F70" s="478">
        <f t="shared" si="19"/>
        <v>0</v>
      </c>
      <c r="G70" s="479" t="s">
        <v>710</v>
      </c>
      <c r="H70" s="479" t="s">
        <v>900</v>
      </c>
      <c r="I70" s="480" t="s">
        <v>906</v>
      </c>
      <c r="J70" s="129" t="s">
        <v>1018</v>
      </c>
      <c r="K70" s="486"/>
      <c r="L70" s="486"/>
      <c r="M70" s="486"/>
      <c r="N70" s="486"/>
      <c r="O70" s="493"/>
    </row>
    <row r="71" s="456" customFormat="1" ht="18" customHeight="1" spans="1:15">
      <c r="A71" s="151" t="s">
        <v>1019</v>
      </c>
      <c r="B71" s="41"/>
      <c r="C71" s="41"/>
      <c r="D71" s="41"/>
      <c r="E71" s="41"/>
      <c r="F71" s="478">
        <f t="shared" si="19"/>
        <v>0</v>
      </c>
      <c r="G71" s="479" t="s">
        <v>710</v>
      </c>
      <c r="H71" s="479" t="s">
        <v>900</v>
      </c>
      <c r="I71" s="480" t="s">
        <v>909</v>
      </c>
      <c r="J71" s="129" t="s">
        <v>1020</v>
      </c>
      <c r="K71" s="486"/>
      <c r="L71" s="486"/>
      <c r="M71" s="486"/>
      <c r="N71" s="486"/>
      <c r="O71" s="493"/>
    </row>
    <row r="72" s="456" customFormat="1" ht="18" customHeight="1" spans="1:15">
      <c r="A72" s="468" t="s">
        <v>1021</v>
      </c>
      <c r="B72" s="139"/>
      <c r="C72" s="139"/>
      <c r="D72" s="139"/>
      <c r="E72" s="139"/>
      <c r="F72" s="478">
        <f t="shared" si="19"/>
        <v>0</v>
      </c>
      <c r="G72" s="479" t="s">
        <v>710</v>
      </c>
      <c r="H72" s="479" t="s">
        <v>900</v>
      </c>
      <c r="I72" s="480" t="s">
        <v>913</v>
      </c>
      <c r="J72" s="129" t="s">
        <v>395</v>
      </c>
      <c r="K72" s="486"/>
      <c r="L72" s="486"/>
      <c r="M72" s="486"/>
      <c r="N72" s="486"/>
      <c r="O72" s="492">
        <f t="shared" ref="O72:O90" si="23">IF(K72=0,0,SUM(N72/K72-1)*100)</f>
        <v>0</v>
      </c>
    </row>
    <row r="73" s="456" customFormat="1" ht="18" customHeight="1" spans="1:15">
      <c r="A73" s="468" t="s">
        <v>1022</v>
      </c>
      <c r="B73" s="139">
        <f>SUM(B74:B75)</f>
        <v>148</v>
      </c>
      <c r="C73" s="139">
        <f>SUM(C74:C75)</f>
        <v>0</v>
      </c>
      <c r="D73" s="139">
        <f>SUM(D74:D75)</f>
        <v>1999</v>
      </c>
      <c r="E73" s="139">
        <f>SUM(E74:E75)</f>
        <v>1630</v>
      </c>
      <c r="F73" s="478">
        <f t="shared" si="19"/>
        <v>1001.35</v>
      </c>
      <c r="G73" s="479" t="s">
        <v>726</v>
      </c>
      <c r="H73" s="479"/>
      <c r="I73" s="479"/>
      <c r="J73" s="484" t="s">
        <v>1023</v>
      </c>
      <c r="K73" s="485">
        <f t="shared" ref="K73:N73" si="24">K74+K90+K94+K95+K101+K105+K109+K113+K119+K122+K131</f>
        <v>14947</v>
      </c>
      <c r="L73" s="485">
        <f t="shared" si="24"/>
        <v>20881</v>
      </c>
      <c r="M73" s="485">
        <f t="shared" si="24"/>
        <v>31231</v>
      </c>
      <c r="N73" s="485">
        <f t="shared" si="24"/>
        <v>30405</v>
      </c>
      <c r="O73" s="492">
        <f t="shared" si="23"/>
        <v>103.42</v>
      </c>
    </row>
    <row r="74" s="456" customFormat="1" ht="18" customHeight="1" spans="1:15">
      <c r="A74" s="151" t="s">
        <v>1024</v>
      </c>
      <c r="B74" s="495">
        <v>148</v>
      </c>
      <c r="C74" s="470"/>
      <c r="D74" s="470">
        <f>1231+768</f>
        <v>1999</v>
      </c>
      <c r="E74" s="41">
        <v>1630</v>
      </c>
      <c r="F74" s="499">
        <f t="shared" si="19"/>
        <v>1001.35</v>
      </c>
      <c r="G74" s="479" t="s">
        <v>726</v>
      </c>
      <c r="H74" s="500" t="s">
        <v>1025</v>
      </c>
      <c r="I74" s="500"/>
      <c r="J74" s="484" t="s">
        <v>1026</v>
      </c>
      <c r="K74" s="139">
        <f t="shared" ref="K74:N74" si="25">SUM(K75:K89)</f>
        <v>5344</v>
      </c>
      <c r="L74" s="139">
        <f t="shared" si="25"/>
        <v>17782</v>
      </c>
      <c r="M74" s="139">
        <f t="shared" si="25"/>
        <v>16192</v>
      </c>
      <c r="N74" s="139">
        <f t="shared" si="25"/>
        <v>7519</v>
      </c>
      <c r="O74" s="493">
        <f t="shared" si="23"/>
        <v>40.7</v>
      </c>
    </row>
    <row r="75" s="456" customFormat="1" ht="18" customHeight="1" spans="1:15">
      <c r="A75" s="151" t="s">
        <v>1027</v>
      </c>
      <c r="B75" s="41"/>
      <c r="C75" s="41"/>
      <c r="D75" s="41"/>
      <c r="E75" s="41"/>
      <c r="F75" s="499">
        <f t="shared" si="19"/>
        <v>0</v>
      </c>
      <c r="G75" s="479" t="s">
        <v>726</v>
      </c>
      <c r="H75" s="500" t="s">
        <v>1025</v>
      </c>
      <c r="I75" s="501" t="s">
        <v>903</v>
      </c>
      <c r="J75" s="151" t="s">
        <v>1028</v>
      </c>
      <c r="K75" s="486">
        <v>1109</v>
      </c>
      <c r="L75" s="486">
        <v>2100</v>
      </c>
      <c r="M75" s="470">
        <v>2100</v>
      </c>
      <c r="N75" s="486">
        <v>1056</v>
      </c>
      <c r="O75" s="493">
        <f t="shared" si="23"/>
        <v>-4.78</v>
      </c>
    </row>
    <row r="76" s="456" customFormat="1" ht="18" customHeight="1" spans="1:15">
      <c r="A76" s="496"/>
      <c r="B76" s="497"/>
      <c r="C76" s="498"/>
      <c r="D76" s="498"/>
      <c r="E76" s="498"/>
      <c r="F76" s="499">
        <f t="shared" si="19"/>
        <v>0</v>
      </c>
      <c r="G76" s="479" t="s">
        <v>726</v>
      </c>
      <c r="H76" s="500" t="s">
        <v>1025</v>
      </c>
      <c r="I76" s="501" t="s">
        <v>906</v>
      </c>
      <c r="J76" s="151" t="s">
        <v>1029</v>
      </c>
      <c r="K76" s="486">
        <v>24</v>
      </c>
      <c r="L76" s="486">
        <v>225</v>
      </c>
      <c r="M76" s="470">
        <v>225</v>
      </c>
      <c r="N76" s="486">
        <v>77</v>
      </c>
      <c r="O76" s="493">
        <f t="shared" si="23"/>
        <v>220.83</v>
      </c>
    </row>
    <row r="77" s="456" customFormat="1" ht="18" customHeight="1" spans="1:15">
      <c r="A77" s="496"/>
      <c r="B77" s="497"/>
      <c r="C77" s="498"/>
      <c r="D77" s="498"/>
      <c r="E77" s="498"/>
      <c r="F77" s="499">
        <f t="shared" si="19"/>
        <v>0</v>
      </c>
      <c r="G77" s="479" t="s">
        <v>726</v>
      </c>
      <c r="H77" s="500" t="s">
        <v>1025</v>
      </c>
      <c r="I77" s="501" t="s">
        <v>909</v>
      </c>
      <c r="J77" s="151" t="s">
        <v>1030</v>
      </c>
      <c r="K77" s="486">
        <v>717</v>
      </c>
      <c r="L77" s="486">
        <v>330</v>
      </c>
      <c r="M77" s="236">
        <v>446</v>
      </c>
      <c r="N77" s="486">
        <v>244</v>
      </c>
      <c r="O77" s="492">
        <f t="shared" si="23"/>
        <v>-65.97</v>
      </c>
    </row>
    <row r="78" s="456" customFormat="1" ht="18" customHeight="1" spans="1:15">
      <c r="A78" s="496"/>
      <c r="B78" s="497"/>
      <c r="C78" s="498"/>
      <c r="D78" s="498"/>
      <c r="E78" s="498"/>
      <c r="F78" s="499">
        <f t="shared" si="19"/>
        <v>0</v>
      </c>
      <c r="G78" s="479" t="s">
        <v>726</v>
      </c>
      <c r="H78" s="500" t="s">
        <v>1025</v>
      </c>
      <c r="I78" s="501" t="s">
        <v>911</v>
      </c>
      <c r="J78" s="151" t="s">
        <v>1031</v>
      </c>
      <c r="K78" s="486">
        <v>541</v>
      </c>
      <c r="L78" s="486">
        <v>5536</v>
      </c>
      <c r="M78" s="236">
        <v>16</v>
      </c>
      <c r="N78" s="486">
        <v>21</v>
      </c>
      <c r="O78" s="493">
        <f t="shared" si="23"/>
        <v>-96.12</v>
      </c>
    </row>
    <row r="79" s="456" customFormat="1" ht="18" customHeight="1" spans="1:15">
      <c r="A79" s="496"/>
      <c r="B79" s="497"/>
      <c r="C79" s="498"/>
      <c r="D79" s="498"/>
      <c r="E79" s="498"/>
      <c r="F79" s="499">
        <f t="shared" si="19"/>
        <v>0</v>
      </c>
      <c r="G79" s="479" t="s">
        <v>726</v>
      </c>
      <c r="H79" s="500" t="s">
        <v>1025</v>
      </c>
      <c r="I79" s="501" t="s">
        <v>928</v>
      </c>
      <c r="J79" s="130" t="s">
        <v>1032</v>
      </c>
      <c r="K79" s="486">
        <v>259</v>
      </c>
      <c r="L79" s="486">
        <v>3000</v>
      </c>
      <c r="M79" s="236">
        <v>2314</v>
      </c>
      <c r="N79" s="486">
        <v>256</v>
      </c>
      <c r="O79" s="493">
        <f t="shared" si="23"/>
        <v>-1.16</v>
      </c>
    </row>
    <row r="80" s="456" customFormat="1" ht="18" customHeight="1" spans="1:15">
      <c r="A80" s="496"/>
      <c r="B80" s="497"/>
      <c r="C80" s="498"/>
      <c r="D80" s="498"/>
      <c r="E80" s="498"/>
      <c r="F80" s="499">
        <f t="shared" si="19"/>
        <v>0</v>
      </c>
      <c r="G80" s="479" t="s">
        <v>726</v>
      </c>
      <c r="H80" s="500" t="s">
        <v>1025</v>
      </c>
      <c r="I80" s="501" t="s">
        <v>1033</v>
      </c>
      <c r="J80" s="151" t="s">
        <v>1034</v>
      </c>
      <c r="K80" s="486">
        <v>43</v>
      </c>
      <c r="L80" s="486">
        <v>75</v>
      </c>
      <c r="M80" s="470">
        <v>20</v>
      </c>
      <c r="N80" s="486">
        <v>16</v>
      </c>
      <c r="O80" s="493">
        <f t="shared" si="23"/>
        <v>-62.79</v>
      </c>
    </row>
    <row r="81" s="456" customFormat="1" ht="18" customHeight="1" spans="1:15">
      <c r="A81" s="496"/>
      <c r="B81" s="497"/>
      <c r="C81" s="498"/>
      <c r="D81" s="498"/>
      <c r="E81" s="498"/>
      <c r="F81" s="499">
        <f t="shared" si="19"/>
        <v>0</v>
      </c>
      <c r="G81" s="479" t="s">
        <v>726</v>
      </c>
      <c r="H81" s="500" t="s">
        <v>1025</v>
      </c>
      <c r="I81" s="501" t="s">
        <v>943</v>
      </c>
      <c r="J81" s="151" t="s">
        <v>1035</v>
      </c>
      <c r="K81" s="486"/>
      <c r="L81" s="486"/>
      <c r="M81" s="236">
        <v>0</v>
      </c>
      <c r="N81" s="486"/>
      <c r="O81" s="492">
        <f t="shared" si="23"/>
        <v>0</v>
      </c>
    </row>
    <row r="82" s="456" customFormat="1" ht="18" customHeight="1" spans="1:15">
      <c r="A82" s="496"/>
      <c r="B82" s="497"/>
      <c r="C82" s="498"/>
      <c r="D82" s="498"/>
      <c r="E82" s="498"/>
      <c r="F82" s="499">
        <f t="shared" si="19"/>
        <v>0</v>
      </c>
      <c r="G82" s="479" t="s">
        <v>726</v>
      </c>
      <c r="H82" s="500" t="s">
        <v>1025</v>
      </c>
      <c r="I82" s="501" t="s">
        <v>956</v>
      </c>
      <c r="J82" s="151" t="s">
        <v>1036</v>
      </c>
      <c r="K82" s="486"/>
      <c r="L82" s="486"/>
      <c r="M82" s="236">
        <v>6</v>
      </c>
      <c r="N82" s="486">
        <v>17</v>
      </c>
      <c r="O82" s="492">
        <f t="shared" si="23"/>
        <v>0</v>
      </c>
    </row>
    <row r="83" s="456" customFormat="1" ht="18" customHeight="1" spans="1:15">
      <c r="A83" s="496"/>
      <c r="B83" s="497"/>
      <c r="C83" s="498"/>
      <c r="D83" s="498"/>
      <c r="E83" s="498"/>
      <c r="F83" s="499">
        <f t="shared" si="19"/>
        <v>0</v>
      </c>
      <c r="G83" s="479" t="s">
        <v>726</v>
      </c>
      <c r="H83" s="500" t="s">
        <v>1025</v>
      </c>
      <c r="I83" s="501" t="s">
        <v>917</v>
      </c>
      <c r="J83" s="131" t="s">
        <v>1037</v>
      </c>
      <c r="K83" s="486"/>
      <c r="L83" s="486"/>
      <c r="M83" s="236">
        <v>0</v>
      </c>
      <c r="N83" s="486"/>
      <c r="O83" s="493">
        <f t="shared" si="23"/>
        <v>0</v>
      </c>
    </row>
    <row r="84" s="456" customFormat="1" ht="18" customHeight="1" spans="1:15">
      <c r="A84" s="496"/>
      <c r="B84" s="497"/>
      <c r="C84" s="498"/>
      <c r="D84" s="498"/>
      <c r="E84" s="498"/>
      <c r="F84" s="499">
        <f t="shared" si="19"/>
        <v>0</v>
      </c>
      <c r="G84" s="479" t="s">
        <v>726</v>
      </c>
      <c r="H84" s="500" t="s">
        <v>1025</v>
      </c>
      <c r="I84" s="501" t="s">
        <v>1038</v>
      </c>
      <c r="J84" s="151" t="s">
        <v>1039</v>
      </c>
      <c r="K84" s="486"/>
      <c r="L84" s="486"/>
      <c r="M84" s="236">
        <v>0</v>
      </c>
      <c r="N84" s="486"/>
      <c r="O84" s="492">
        <f t="shared" si="23"/>
        <v>0</v>
      </c>
    </row>
    <row r="85" s="456" customFormat="1" ht="18" customHeight="1" spans="1:15">
      <c r="A85" s="496"/>
      <c r="B85" s="497"/>
      <c r="C85" s="498"/>
      <c r="D85" s="498"/>
      <c r="E85" s="498"/>
      <c r="F85" s="499">
        <f t="shared" si="19"/>
        <v>0</v>
      </c>
      <c r="G85" s="479" t="s">
        <v>726</v>
      </c>
      <c r="H85" s="500" t="s">
        <v>1025</v>
      </c>
      <c r="I85" s="501" t="s">
        <v>1040</v>
      </c>
      <c r="J85" s="151" t="s">
        <v>1041</v>
      </c>
      <c r="K85" s="486"/>
      <c r="L85" s="486"/>
      <c r="M85" s="470">
        <v>0</v>
      </c>
      <c r="N85" s="486"/>
      <c r="O85" s="493">
        <f t="shared" si="23"/>
        <v>0</v>
      </c>
    </row>
    <row r="86" s="456" customFormat="1" ht="18" customHeight="1" spans="1:15">
      <c r="A86" s="496"/>
      <c r="B86" s="497"/>
      <c r="C86" s="498"/>
      <c r="D86" s="498"/>
      <c r="E86" s="498"/>
      <c r="F86" s="499">
        <f t="shared" si="19"/>
        <v>0</v>
      </c>
      <c r="G86" s="479" t="s">
        <v>726</v>
      </c>
      <c r="H86" s="500" t="s">
        <v>1025</v>
      </c>
      <c r="I86" s="501" t="s">
        <v>1042</v>
      </c>
      <c r="J86" s="131" t="s">
        <v>1043</v>
      </c>
      <c r="K86" s="486">
        <v>446</v>
      </c>
      <c r="L86" s="486">
        <v>382</v>
      </c>
      <c r="M86" s="470">
        <v>382</v>
      </c>
      <c r="N86" s="486">
        <v>256</v>
      </c>
      <c r="O86" s="493">
        <f t="shared" si="23"/>
        <v>-42.6</v>
      </c>
    </row>
    <row r="87" s="456" customFormat="1" ht="18" customHeight="1" spans="1:15">
      <c r="A87" s="496"/>
      <c r="B87" s="497"/>
      <c r="C87" s="498"/>
      <c r="D87" s="498"/>
      <c r="E87" s="498"/>
      <c r="F87" s="499">
        <f t="shared" si="19"/>
        <v>0</v>
      </c>
      <c r="G87" s="479" t="s">
        <v>726</v>
      </c>
      <c r="H87" s="500" t="s">
        <v>1025</v>
      </c>
      <c r="I87" s="501" t="s">
        <v>1044</v>
      </c>
      <c r="J87" s="131" t="s">
        <v>1045</v>
      </c>
      <c r="K87" s="486"/>
      <c r="L87" s="486"/>
      <c r="M87" s="236">
        <v>0</v>
      </c>
      <c r="N87" s="486"/>
      <c r="O87" s="493">
        <f t="shared" si="23"/>
        <v>0</v>
      </c>
    </row>
    <row r="88" s="456" customFormat="1" ht="18" customHeight="1" spans="1:15">
      <c r="A88" s="496"/>
      <c r="B88" s="497"/>
      <c r="C88" s="498"/>
      <c r="D88" s="498"/>
      <c r="E88" s="498"/>
      <c r="F88" s="499">
        <f t="shared" si="19"/>
        <v>0</v>
      </c>
      <c r="G88" s="479" t="s">
        <v>726</v>
      </c>
      <c r="H88" s="500" t="s">
        <v>1025</v>
      </c>
      <c r="I88" s="501" t="s">
        <v>1046</v>
      </c>
      <c r="J88" s="131" t="s">
        <v>1047</v>
      </c>
      <c r="K88" s="486">
        <v>518</v>
      </c>
      <c r="L88" s="486">
        <v>610</v>
      </c>
      <c r="M88" s="236">
        <v>670</v>
      </c>
      <c r="N88" s="486">
        <v>749</v>
      </c>
      <c r="O88" s="492">
        <f t="shared" si="23"/>
        <v>44.59</v>
      </c>
    </row>
    <row r="89" s="456" customFormat="1" ht="18" customHeight="1" spans="1:15">
      <c r="A89" s="496"/>
      <c r="B89" s="497"/>
      <c r="C89" s="498"/>
      <c r="D89" s="498"/>
      <c r="E89" s="498"/>
      <c r="F89" s="499">
        <f t="shared" si="19"/>
        <v>0</v>
      </c>
      <c r="G89" s="479" t="s">
        <v>726</v>
      </c>
      <c r="H89" s="500" t="s">
        <v>1025</v>
      </c>
      <c r="I89" s="501" t="s">
        <v>913</v>
      </c>
      <c r="J89" s="131" t="s">
        <v>1048</v>
      </c>
      <c r="K89" s="486">
        <v>1687</v>
      </c>
      <c r="L89" s="486">
        <v>5524</v>
      </c>
      <c r="M89" s="236">
        <v>10013</v>
      </c>
      <c r="N89" s="486">
        <v>4827</v>
      </c>
      <c r="O89" s="493">
        <f t="shared" si="23"/>
        <v>186.13</v>
      </c>
    </row>
    <row r="90" s="456" customFormat="1" ht="18" customHeight="1" spans="1:15">
      <c r="A90" s="496"/>
      <c r="B90" s="497"/>
      <c r="C90" s="498"/>
      <c r="D90" s="498"/>
      <c r="E90" s="498"/>
      <c r="F90" s="499">
        <f t="shared" si="19"/>
        <v>0</v>
      </c>
      <c r="G90" s="479" t="s">
        <v>726</v>
      </c>
      <c r="H90" s="500" t="s">
        <v>917</v>
      </c>
      <c r="I90" s="500"/>
      <c r="J90" s="484" t="s">
        <v>1049</v>
      </c>
      <c r="K90" s="139">
        <f t="shared" ref="K90:N90" si="26">SUM(K91:K93)</f>
        <v>0</v>
      </c>
      <c r="L90" s="139">
        <f t="shared" si="26"/>
        <v>0</v>
      </c>
      <c r="M90" s="139">
        <f t="shared" si="26"/>
        <v>0</v>
      </c>
      <c r="N90" s="139">
        <f t="shared" si="26"/>
        <v>0</v>
      </c>
      <c r="O90" s="493">
        <f t="shared" si="23"/>
        <v>0</v>
      </c>
    </row>
    <row r="91" s="456" customFormat="1" ht="18" customHeight="1" spans="1:15">
      <c r="A91" s="496"/>
      <c r="B91" s="497"/>
      <c r="C91" s="498"/>
      <c r="D91" s="498"/>
      <c r="E91" s="498"/>
      <c r="F91" s="499"/>
      <c r="G91" s="479" t="s">
        <v>726</v>
      </c>
      <c r="H91" s="500" t="s">
        <v>917</v>
      </c>
      <c r="I91" s="501" t="s">
        <v>903</v>
      </c>
      <c r="J91" s="488" t="s">
        <v>1050</v>
      </c>
      <c r="K91" s="486"/>
      <c r="L91" s="486"/>
      <c r="M91" s="486"/>
      <c r="N91" s="486"/>
      <c r="O91" s="493"/>
    </row>
    <row r="92" s="456" customFormat="1" ht="18" customHeight="1" spans="1:15">
      <c r="A92" s="496"/>
      <c r="B92" s="497"/>
      <c r="C92" s="498"/>
      <c r="D92" s="498"/>
      <c r="E92" s="498"/>
      <c r="F92" s="499"/>
      <c r="G92" s="479" t="s">
        <v>726</v>
      </c>
      <c r="H92" s="500" t="s">
        <v>917</v>
      </c>
      <c r="I92" s="501" t="s">
        <v>906</v>
      </c>
      <c r="J92" s="489" t="s">
        <v>1051</v>
      </c>
      <c r="K92" s="486"/>
      <c r="L92" s="486"/>
      <c r="M92" s="486"/>
      <c r="N92" s="486"/>
      <c r="O92" s="493"/>
    </row>
    <row r="93" s="456" customFormat="1" ht="18" customHeight="1" spans="1:15">
      <c r="A93" s="496"/>
      <c r="B93" s="497"/>
      <c r="C93" s="498"/>
      <c r="D93" s="498"/>
      <c r="E93" s="498"/>
      <c r="F93" s="499"/>
      <c r="G93" s="479" t="s">
        <v>726</v>
      </c>
      <c r="H93" s="500" t="s">
        <v>917</v>
      </c>
      <c r="I93" s="501" t="s">
        <v>913</v>
      </c>
      <c r="J93" s="489" t="s">
        <v>1052</v>
      </c>
      <c r="K93" s="486"/>
      <c r="L93" s="486"/>
      <c r="M93" s="486"/>
      <c r="N93" s="486"/>
      <c r="O93" s="493"/>
    </row>
    <row r="94" s="456" customFormat="1" ht="18" customHeight="1" spans="1:15">
      <c r="A94" s="496"/>
      <c r="B94" s="497"/>
      <c r="C94" s="498"/>
      <c r="D94" s="498"/>
      <c r="E94" s="498"/>
      <c r="F94" s="499">
        <f t="shared" ref="F94:F139" si="27">IF(B94=0,0,SUM(E94/B94-1)*100)</f>
        <v>0</v>
      </c>
      <c r="G94" s="479" t="s">
        <v>726</v>
      </c>
      <c r="H94" s="500" t="s">
        <v>1038</v>
      </c>
      <c r="I94" s="500"/>
      <c r="J94" s="484" t="s">
        <v>1053</v>
      </c>
      <c r="K94" s="139">
        <v>7</v>
      </c>
      <c r="L94" s="139">
        <v>262</v>
      </c>
      <c r="M94" s="139">
        <v>262</v>
      </c>
      <c r="N94" s="139"/>
      <c r="O94" s="493">
        <f t="shared" ref="O94:O139" si="28">IF(K94=0,0,SUM(N94/K94-1)*100)</f>
        <v>-100</v>
      </c>
    </row>
    <row r="95" s="456" customFormat="1" ht="18" customHeight="1" spans="1:15">
      <c r="A95" s="496"/>
      <c r="B95" s="497"/>
      <c r="C95" s="498"/>
      <c r="D95" s="498"/>
      <c r="E95" s="498"/>
      <c r="F95" s="499">
        <f t="shared" si="27"/>
        <v>0</v>
      </c>
      <c r="G95" s="479" t="s">
        <v>726</v>
      </c>
      <c r="H95" s="500" t="s">
        <v>1040</v>
      </c>
      <c r="I95" s="500"/>
      <c r="J95" s="484" t="s">
        <v>1054</v>
      </c>
      <c r="K95" s="139">
        <f t="shared" ref="K95:N95" si="29">SUM(K96:K100)</f>
        <v>0</v>
      </c>
      <c r="L95" s="139">
        <f t="shared" si="29"/>
        <v>0</v>
      </c>
      <c r="M95" s="139">
        <f t="shared" si="29"/>
        <v>226</v>
      </c>
      <c r="N95" s="139">
        <f t="shared" si="29"/>
        <v>150</v>
      </c>
      <c r="O95" s="493">
        <f t="shared" si="28"/>
        <v>0</v>
      </c>
    </row>
    <row r="96" s="456" customFormat="1" ht="18" customHeight="1" spans="1:15">
      <c r="A96" s="496"/>
      <c r="B96" s="497"/>
      <c r="C96" s="498"/>
      <c r="D96" s="498"/>
      <c r="E96" s="498"/>
      <c r="F96" s="499">
        <f t="shared" si="27"/>
        <v>0</v>
      </c>
      <c r="G96" s="479" t="s">
        <v>726</v>
      </c>
      <c r="H96" s="500" t="s">
        <v>1040</v>
      </c>
      <c r="I96" s="501" t="s">
        <v>903</v>
      </c>
      <c r="J96" s="151" t="s">
        <v>1055</v>
      </c>
      <c r="K96" s="486"/>
      <c r="L96" s="486"/>
      <c r="M96" s="486"/>
      <c r="N96" s="486"/>
      <c r="O96" s="492">
        <f t="shared" si="28"/>
        <v>0</v>
      </c>
    </row>
    <row r="97" s="456" customFormat="1" ht="18" customHeight="1" spans="1:15">
      <c r="A97" s="496"/>
      <c r="B97" s="497"/>
      <c r="C97" s="498"/>
      <c r="D97" s="498"/>
      <c r="E97" s="498"/>
      <c r="F97" s="499">
        <f t="shared" si="27"/>
        <v>0</v>
      </c>
      <c r="G97" s="479" t="s">
        <v>726</v>
      </c>
      <c r="H97" s="500" t="s">
        <v>1040</v>
      </c>
      <c r="I97" s="501" t="s">
        <v>906</v>
      </c>
      <c r="J97" s="131" t="s">
        <v>1056</v>
      </c>
      <c r="K97" s="486"/>
      <c r="L97" s="486"/>
      <c r="M97" s="486"/>
      <c r="N97" s="486"/>
      <c r="O97" s="493">
        <f t="shared" si="28"/>
        <v>0</v>
      </c>
    </row>
    <row r="98" s="456" customFormat="1" ht="18" customHeight="1" spans="1:15">
      <c r="A98" s="496"/>
      <c r="B98" s="497"/>
      <c r="C98" s="498"/>
      <c r="D98" s="498"/>
      <c r="E98" s="498"/>
      <c r="F98" s="499">
        <f t="shared" si="27"/>
        <v>0</v>
      </c>
      <c r="G98" s="479" t="s">
        <v>726</v>
      </c>
      <c r="H98" s="500" t="s">
        <v>1040</v>
      </c>
      <c r="I98" s="501" t="s">
        <v>909</v>
      </c>
      <c r="J98" s="131" t="s">
        <v>1057</v>
      </c>
      <c r="K98" s="486"/>
      <c r="L98" s="486"/>
      <c r="M98" s="486"/>
      <c r="N98" s="486"/>
      <c r="O98" s="493">
        <f t="shared" si="28"/>
        <v>0</v>
      </c>
    </row>
    <row r="99" s="456" customFormat="1" ht="18" customHeight="1" spans="1:15">
      <c r="A99" s="496"/>
      <c r="B99" s="497"/>
      <c r="C99" s="498"/>
      <c r="D99" s="498"/>
      <c r="E99" s="498"/>
      <c r="F99" s="499">
        <f t="shared" si="27"/>
        <v>0</v>
      </c>
      <c r="G99" s="479" t="s">
        <v>726</v>
      </c>
      <c r="H99" s="500" t="s">
        <v>1040</v>
      </c>
      <c r="I99" s="501" t="s">
        <v>911</v>
      </c>
      <c r="J99" s="131" t="s">
        <v>1058</v>
      </c>
      <c r="K99" s="486"/>
      <c r="L99" s="486"/>
      <c r="M99" s="486"/>
      <c r="N99" s="486"/>
      <c r="O99" s="493">
        <f t="shared" si="28"/>
        <v>0</v>
      </c>
    </row>
    <row r="100" s="456" customFormat="1" ht="18" customHeight="1" spans="1:15">
      <c r="A100" s="496"/>
      <c r="B100" s="497"/>
      <c r="C100" s="498"/>
      <c r="D100" s="498"/>
      <c r="E100" s="498"/>
      <c r="F100" s="499">
        <f t="shared" si="27"/>
        <v>0</v>
      </c>
      <c r="G100" s="479" t="s">
        <v>726</v>
      </c>
      <c r="H100" s="500" t="s">
        <v>1040</v>
      </c>
      <c r="I100" s="501" t="s">
        <v>913</v>
      </c>
      <c r="J100" s="131" t="s">
        <v>1059</v>
      </c>
      <c r="K100" s="486"/>
      <c r="L100" s="486">
        <v>0</v>
      </c>
      <c r="M100" s="486">
        <v>226</v>
      </c>
      <c r="N100" s="486">
        <v>150</v>
      </c>
      <c r="O100" s="493">
        <f t="shared" si="28"/>
        <v>0</v>
      </c>
    </row>
    <row r="101" s="456" customFormat="1" ht="18" customHeight="1" spans="1:15">
      <c r="A101" s="496"/>
      <c r="B101" s="497"/>
      <c r="C101" s="498"/>
      <c r="D101" s="498"/>
      <c r="E101" s="498"/>
      <c r="F101" s="499">
        <f t="shared" si="27"/>
        <v>0</v>
      </c>
      <c r="G101" s="479" t="s">
        <v>726</v>
      </c>
      <c r="H101" s="500" t="s">
        <v>1042</v>
      </c>
      <c r="I101" s="500"/>
      <c r="J101" s="484" t="s">
        <v>1060</v>
      </c>
      <c r="K101" s="139">
        <f t="shared" ref="K101:N101" si="30">SUM(K102:K104)</f>
        <v>350</v>
      </c>
      <c r="L101" s="139">
        <f t="shared" si="30"/>
        <v>696</v>
      </c>
      <c r="M101" s="139">
        <f t="shared" si="30"/>
        <v>1022</v>
      </c>
      <c r="N101" s="139">
        <f t="shared" si="30"/>
        <v>581</v>
      </c>
      <c r="O101" s="492">
        <f t="shared" si="28"/>
        <v>66</v>
      </c>
    </row>
    <row r="102" s="456" customFormat="1" ht="18" customHeight="1" spans="1:15">
      <c r="A102" s="496"/>
      <c r="B102" s="497"/>
      <c r="C102" s="498"/>
      <c r="D102" s="498"/>
      <c r="E102" s="498"/>
      <c r="F102" s="499">
        <f t="shared" si="27"/>
        <v>0</v>
      </c>
      <c r="G102" s="479" t="s">
        <v>726</v>
      </c>
      <c r="H102" s="500" t="s">
        <v>1042</v>
      </c>
      <c r="I102" s="500" t="s">
        <v>903</v>
      </c>
      <c r="J102" s="129" t="s">
        <v>1061</v>
      </c>
      <c r="K102" s="486">
        <v>350</v>
      </c>
      <c r="L102" s="486">
        <v>696</v>
      </c>
      <c r="M102" s="486">
        <v>1022</v>
      </c>
      <c r="N102" s="486">
        <v>581</v>
      </c>
      <c r="O102" s="493">
        <f t="shared" si="28"/>
        <v>66</v>
      </c>
    </row>
    <row r="103" s="456" customFormat="1" ht="18" customHeight="1" spans="1:15">
      <c r="A103" s="496"/>
      <c r="B103" s="497"/>
      <c r="C103" s="498"/>
      <c r="D103" s="498"/>
      <c r="E103" s="498"/>
      <c r="F103" s="499">
        <f t="shared" si="27"/>
        <v>0</v>
      </c>
      <c r="G103" s="479" t="s">
        <v>726</v>
      </c>
      <c r="H103" s="500" t="s">
        <v>1042</v>
      </c>
      <c r="I103" s="501" t="s">
        <v>906</v>
      </c>
      <c r="J103" s="131" t="s">
        <v>1062</v>
      </c>
      <c r="K103" s="486"/>
      <c r="L103" s="486"/>
      <c r="M103" s="486"/>
      <c r="N103" s="486"/>
      <c r="O103" s="493">
        <f t="shared" si="28"/>
        <v>0</v>
      </c>
    </row>
    <row r="104" s="456" customFormat="1" ht="18" customHeight="1" spans="1:15">
      <c r="A104" s="496"/>
      <c r="B104" s="497"/>
      <c r="C104" s="498"/>
      <c r="D104" s="498"/>
      <c r="E104" s="498"/>
      <c r="F104" s="499">
        <f t="shared" si="27"/>
        <v>0</v>
      </c>
      <c r="G104" s="479" t="s">
        <v>726</v>
      </c>
      <c r="H104" s="500" t="s">
        <v>1042</v>
      </c>
      <c r="I104" s="501" t="s">
        <v>913</v>
      </c>
      <c r="J104" s="131" t="s">
        <v>1063</v>
      </c>
      <c r="K104" s="486"/>
      <c r="L104" s="486"/>
      <c r="M104" s="486"/>
      <c r="N104" s="486"/>
      <c r="O104" s="492">
        <f t="shared" si="28"/>
        <v>0</v>
      </c>
    </row>
    <row r="105" s="456" customFormat="1" ht="18" customHeight="1" spans="1:15">
      <c r="A105" s="496"/>
      <c r="B105" s="497"/>
      <c r="C105" s="498"/>
      <c r="D105" s="498"/>
      <c r="E105" s="498"/>
      <c r="F105" s="499">
        <f t="shared" si="27"/>
        <v>0</v>
      </c>
      <c r="G105" s="479" t="s">
        <v>726</v>
      </c>
      <c r="H105" s="500" t="s">
        <v>1044</v>
      </c>
      <c r="I105" s="500"/>
      <c r="J105" s="484" t="s">
        <v>1064</v>
      </c>
      <c r="K105" s="139">
        <f t="shared" ref="K105:N105" si="31">SUM(K106:K108)</f>
        <v>0</v>
      </c>
      <c r="L105" s="139">
        <f t="shared" si="31"/>
        <v>0</v>
      </c>
      <c r="M105" s="139">
        <f t="shared" si="31"/>
        <v>0</v>
      </c>
      <c r="N105" s="139">
        <f t="shared" si="31"/>
        <v>0</v>
      </c>
      <c r="O105" s="493">
        <f t="shared" si="28"/>
        <v>0</v>
      </c>
    </row>
    <row r="106" s="456" customFormat="1" ht="18" customHeight="1" spans="1:15">
      <c r="A106" s="496"/>
      <c r="B106" s="497"/>
      <c r="C106" s="498"/>
      <c r="D106" s="498"/>
      <c r="E106" s="498"/>
      <c r="F106" s="499">
        <f t="shared" si="27"/>
        <v>0</v>
      </c>
      <c r="G106" s="479" t="s">
        <v>726</v>
      </c>
      <c r="H106" s="500" t="s">
        <v>1044</v>
      </c>
      <c r="I106" s="501" t="s">
        <v>903</v>
      </c>
      <c r="J106" s="131" t="s">
        <v>1028</v>
      </c>
      <c r="K106" s="486"/>
      <c r="L106" s="486"/>
      <c r="M106" s="486"/>
      <c r="N106" s="486"/>
      <c r="O106" s="493">
        <f t="shared" si="28"/>
        <v>0</v>
      </c>
    </row>
    <row r="107" s="456" customFormat="1" ht="18" customHeight="1" spans="1:15">
      <c r="A107" s="496"/>
      <c r="B107" s="497"/>
      <c r="C107" s="498"/>
      <c r="D107" s="498"/>
      <c r="E107" s="498"/>
      <c r="F107" s="499">
        <f t="shared" si="27"/>
        <v>0</v>
      </c>
      <c r="G107" s="479" t="s">
        <v>726</v>
      </c>
      <c r="H107" s="500" t="s">
        <v>1044</v>
      </c>
      <c r="I107" s="501" t="s">
        <v>906</v>
      </c>
      <c r="J107" s="131" t="s">
        <v>1029</v>
      </c>
      <c r="K107" s="486"/>
      <c r="L107" s="486"/>
      <c r="M107" s="486"/>
      <c r="N107" s="486"/>
      <c r="O107" s="493">
        <f t="shared" si="28"/>
        <v>0</v>
      </c>
    </row>
    <row r="108" s="456" customFormat="1" ht="18" customHeight="1" spans="1:15">
      <c r="A108" s="496"/>
      <c r="B108" s="497"/>
      <c r="C108" s="498"/>
      <c r="D108" s="498"/>
      <c r="E108" s="498"/>
      <c r="F108" s="499">
        <f t="shared" si="27"/>
        <v>0</v>
      </c>
      <c r="G108" s="479" t="s">
        <v>726</v>
      </c>
      <c r="H108" s="500" t="s">
        <v>1044</v>
      </c>
      <c r="I108" s="501" t="s">
        <v>913</v>
      </c>
      <c r="J108" s="131" t="s">
        <v>1065</v>
      </c>
      <c r="K108" s="486"/>
      <c r="L108" s="486"/>
      <c r="M108" s="486"/>
      <c r="N108" s="486"/>
      <c r="O108" s="493">
        <f t="shared" si="28"/>
        <v>0</v>
      </c>
    </row>
    <row r="109" s="456" customFormat="1" ht="18" customHeight="1" spans="1:15">
      <c r="A109" s="496"/>
      <c r="B109" s="497"/>
      <c r="C109" s="498"/>
      <c r="D109" s="498"/>
      <c r="E109" s="498"/>
      <c r="F109" s="499">
        <f t="shared" si="27"/>
        <v>0</v>
      </c>
      <c r="G109" s="479" t="s">
        <v>726</v>
      </c>
      <c r="H109" s="500" t="s">
        <v>1046</v>
      </c>
      <c r="I109" s="500"/>
      <c r="J109" s="484" t="s">
        <v>1066</v>
      </c>
      <c r="K109" s="139">
        <f t="shared" ref="K109:N109" si="32">SUM(K110:K112)</f>
        <v>0</v>
      </c>
      <c r="L109" s="139">
        <f t="shared" si="32"/>
        <v>200</v>
      </c>
      <c r="M109" s="139">
        <f t="shared" si="32"/>
        <v>0</v>
      </c>
      <c r="N109" s="139">
        <f t="shared" si="32"/>
        <v>0</v>
      </c>
      <c r="O109" s="492">
        <f t="shared" si="28"/>
        <v>0</v>
      </c>
    </row>
    <row r="110" s="456" customFormat="1" ht="18" customHeight="1" spans="1:15">
      <c r="A110" s="496"/>
      <c r="B110" s="497"/>
      <c r="C110" s="498"/>
      <c r="D110" s="498"/>
      <c r="E110" s="498"/>
      <c r="F110" s="499">
        <f t="shared" si="27"/>
        <v>0</v>
      </c>
      <c r="G110" s="479" t="s">
        <v>726</v>
      </c>
      <c r="H110" s="500" t="s">
        <v>1046</v>
      </c>
      <c r="I110" s="501" t="s">
        <v>903</v>
      </c>
      <c r="J110" s="131" t="s">
        <v>1028</v>
      </c>
      <c r="K110" s="486"/>
      <c r="L110" s="486">
        <v>200</v>
      </c>
      <c r="M110" s="486"/>
      <c r="N110" s="486"/>
      <c r="O110" s="493">
        <f t="shared" si="28"/>
        <v>0</v>
      </c>
    </row>
    <row r="111" s="456" customFormat="1" ht="18" customHeight="1" spans="1:15">
      <c r="A111" s="496"/>
      <c r="B111" s="497"/>
      <c r="C111" s="498"/>
      <c r="D111" s="498"/>
      <c r="E111" s="498"/>
      <c r="F111" s="499">
        <f t="shared" si="27"/>
        <v>0</v>
      </c>
      <c r="G111" s="479" t="s">
        <v>726</v>
      </c>
      <c r="H111" s="500" t="s">
        <v>1046</v>
      </c>
      <c r="I111" s="501" t="s">
        <v>906</v>
      </c>
      <c r="J111" s="131" t="s">
        <v>1029</v>
      </c>
      <c r="K111" s="486"/>
      <c r="L111" s="486"/>
      <c r="M111" s="486"/>
      <c r="N111" s="486"/>
      <c r="O111" s="493">
        <f t="shared" si="28"/>
        <v>0</v>
      </c>
    </row>
    <row r="112" s="456" customFormat="1" ht="18" customHeight="1" spans="1:15">
      <c r="A112" s="496"/>
      <c r="B112" s="497"/>
      <c r="C112" s="498"/>
      <c r="D112" s="498"/>
      <c r="E112" s="498"/>
      <c r="F112" s="499">
        <f t="shared" si="27"/>
        <v>0</v>
      </c>
      <c r="G112" s="479" t="s">
        <v>726</v>
      </c>
      <c r="H112" s="500" t="s">
        <v>1046</v>
      </c>
      <c r="I112" s="501" t="s">
        <v>913</v>
      </c>
      <c r="J112" s="131" t="s">
        <v>1067</v>
      </c>
      <c r="K112" s="486"/>
      <c r="L112" s="486"/>
      <c r="M112" s="486"/>
      <c r="N112" s="486"/>
      <c r="O112" s="493">
        <f t="shared" si="28"/>
        <v>0</v>
      </c>
    </row>
    <row r="113" s="456" customFormat="1" ht="18" customHeight="1" spans="1:15">
      <c r="A113" s="496"/>
      <c r="B113" s="497"/>
      <c r="C113" s="498"/>
      <c r="D113" s="498"/>
      <c r="E113" s="498"/>
      <c r="F113" s="499">
        <f t="shared" si="27"/>
        <v>0</v>
      </c>
      <c r="G113" s="479" t="s">
        <v>726</v>
      </c>
      <c r="H113" s="500" t="s">
        <v>1068</v>
      </c>
      <c r="I113" s="500"/>
      <c r="J113" s="484" t="s">
        <v>1069</v>
      </c>
      <c r="K113" s="139">
        <f t="shared" ref="K113:N113" si="33">SUM(K114:K118)</f>
        <v>0</v>
      </c>
      <c r="L113" s="139">
        <f t="shared" si="33"/>
        <v>0</v>
      </c>
      <c r="M113" s="139">
        <f t="shared" si="33"/>
        <v>0</v>
      </c>
      <c r="N113" s="139">
        <f t="shared" si="33"/>
        <v>0</v>
      </c>
      <c r="O113" s="492">
        <f t="shared" si="28"/>
        <v>0</v>
      </c>
    </row>
    <row r="114" s="456" customFormat="1" ht="18" customHeight="1" spans="1:15">
      <c r="A114" s="496"/>
      <c r="B114" s="497"/>
      <c r="C114" s="498"/>
      <c r="D114" s="498"/>
      <c r="E114" s="498"/>
      <c r="F114" s="499">
        <f t="shared" si="27"/>
        <v>0</v>
      </c>
      <c r="G114" s="479" t="s">
        <v>726</v>
      </c>
      <c r="H114" s="500" t="s">
        <v>1068</v>
      </c>
      <c r="I114" s="501" t="s">
        <v>903</v>
      </c>
      <c r="J114" s="131" t="s">
        <v>1055</v>
      </c>
      <c r="K114" s="486"/>
      <c r="L114" s="486"/>
      <c r="M114" s="486"/>
      <c r="N114" s="486"/>
      <c r="O114" s="492">
        <f t="shared" si="28"/>
        <v>0</v>
      </c>
    </row>
    <row r="115" s="456" customFormat="1" ht="18" customHeight="1" spans="1:15">
      <c r="A115" s="496"/>
      <c r="B115" s="497"/>
      <c r="C115" s="498"/>
      <c r="D115" s="498"/>
      <c r="E115" s="498"/>
      <c r="F115" s="499">
        <f t="shared" si="27"/>
        <v>0</v>
      </c>
      <c r="G115" s="479" t="s">
        <v>726</v>
      </c>
      <c r="H115" s="500" t="s">
        <v>1068</v>
      </c>
      <c r="I115" s="501" t="s">
        <v>906</v>
      </c>
      <c r="J115" s="131" t="s">
        <v>1056</v>
      </c>
      <c r="K115" s="486"/>
      <c r="L115" s="486"/>
      <c r="M115" s="486"/>
      <c r="N115" s="486"/>
      <c r="O115" s="493">
        <f t="shared" si="28"/>
        <v>0</v>
      </c>
    </row>
    <row r="116" s="456" customFormat="1" ht="18" customHeight="1" spans="1:15">
      <c r="A116" s="496"/>
      <c r="B116" s="497"/>
      <c r="C116" s="498"/>
      <c r="D116" s="498"/>
      <c r="E116" s="498"/>
      <c r="F116" s="499">
        <f t="shared" si="27"/>
        <v>0</v>
      </c>
      <c r="G116" s="479" t="s">
        <v>726</v>
      </c>
      <c r="H116" s="500" t="s">
        <v>1068</v>
      </c>
      <c r="I116" s="501" t="s">
        <v>909</v>
      </c>
      <c r="J116" s="131" t="s">
        <v>1057</v>
      </c>
      <c r="K116" s="486"/>
      <c r="L116" s="486"/>
      <c r="M116" s="486"/>
      <c r="N116" s="486"/>
      <c r="O116" s="492">
        <f t="shared" si="28"/>
        <v>0</v>
      </c>
    </row>
    <row r="117" s="456" customFormat="1" ht="18" customHeight="1" spans="1:15">
      <c r="A117" s="496"/>
      <c r="B117" s="497"/>
      <c r="C117" s="498"/>
      <c r="D117" s="498"/>
      <c r="E117" s="498"/>
      <c r="F117" s="499">
        <f t="shared" si="27"/>
        <v>0</v>
      </c>
      <c r="G117" s="479" t="s">
        <v>726</v>
      </c>
      <c r="H117" s="500" t="s">
        <v>1068</v>
      </c>
      <c r="I117" s="501" t="s">
        <v>911</v>
      </c>
      <c r="J117" s="130" t="s">
        <v>1058</v>
      </c>
      <c r="K117" s="486"/>
      <c r="L117" s="486"/>
      <c r="M117" s="486"/>
      <c r="N117" s="486"/>
      <c r="O117" s="493">
        <f t="shared" si="28"/>
        <v>0</v>
      </c>
    </row>
    <row r="118" s="456" customFormat="1" ht="18" customHeight="1" spans="1:15">
      <c r="A118" s="496"/>
      <c r="B118" s="497"/>
      <c r="C118" s="498"/>
      <c r="D118" s="498"/>
      <c r="E118" s="498"/>
      <c r="F118" s="499">
        <f t="shared" si="27"/>
        <v>0</v>
      </c>
      <c r="G118" s="479" t="s">
        <v>726</v>
      </c>
      <c r="H118" s="500" t="s">
        <v>1068</v>
      </c>
      <c r="I118" s="501" t="s">
        <v>913</v>
      </c>
      <c r="J118" s="131" t="s">
        <v>1070</v>
      </c>
      <c r="K118" s="486"/>
      <c r="L118" s="486"/>
      <c r="M118" s="486"/>
      <c r="N118" s="486"/>
      <c r="O118" s="493">
        <f t="shared" si="28"/>
        <v>0</v>
      </c>
    </row>
    <row r="119" s="456" customFormat="1" ht="18" customHeight="1" spans="1:15">
      <c r="A119" s="496"/>
      <c r="B119" s="497"/>
      <c r="C119" s="498"/>
      <c r="D119" s="498"/>
      <c r="E119" s="498"/>
      <c r="F119" s="499">
        <f t="shared" si="27"/>
        <v>0</v>
      </c>
      <c r="G119" s="479" t="s">
        <v>726</v>
      </c>
      <c r="H119" s="500" t="s">
        <v>1071</v>
      </c>
      <c r="I119" s="500"/>
      <c r="J119" s="484" t="s">
        <v>1072</v>
      </c>
      <c r="K119" s="139">
        <f t="shared" ref="K119:N119" si="34">SUM(K120:K121)</f>
        <v>0</v>
      </c>
      <c r="L119" s="139">
        <f t="shared" si="34"/>
        <v>0</v>
      </c>
      <c r="M119" s="139">
        <f t="shared" si="34"/>
        <v>0</v>
      </c>
      <c r="N119" s="139">
        <f t="shared" si="34"/>
        <v>0</v>
      </c>
      <c r="O119" s="493">
        <f t="shared" si="28"/>
        <v>0</v>
      </c>
    </row>
    <row r="120" s="456" customFormat="1" ht="18" customHeight="1" spans="1:15">
      <c r="A120" s="496"/>
      <c r="B120" s="497"/>
      <c r="C120" s="498"/>
      <c r="D120" s="498"/>
      <c r="E120" s="498"/>
      <c r="F120" s="499">
        <f t="shared" si="27"/>
        <v>0</v>
      </c>
      <c r="G120" s="479" t="s">
        <v>726</v>
      </c>
      <c r="H120" s="500" t="s">
        <v>1071</v>
      </c>
      <c r="I120" s="501" t="s">
        <v>903</v>
      </c>
      <c r="J120" s="131" t="s">
        <v>1061</v>
      </c>
      <c r="K120" s="486"/>
      <c r="L120" s="486"/>
      <c r="M120" s="486"/>
      <c r="N120" s="486"/>
      <c r="O120" s="493">
        <f t="shared" si="28"/>
        <v>0</v>
      </c>
    </row>
    <row r="121" s="456" customFormat="1" ht="18" customHeight="1" spans="1:15">
      <c r="A121" s="496"/>
      <c r="B121" s="497"/>
      <c r="C121" s="498"/>
      <c r="D121" s="498"/>
      <c r="E121" s="498"/>
      <c r="F121" s="499">
        <f t="shared" si="27"/>
        <v>0</v>
      </c>
      <c r="G121" s="479" t="s">
        <v>726</v>
      </c>
      <c r="H121" s="500" t="s">
        <v>1071</v>
      </c>
      <c r="I121" s="501" t="s">
        <v>913</v>
      </c>
      <c r="J121" s="131" t="s">
        <v>1073</v>
      </c>
      <c r="K121" s="486"/>
      <c r="L121" s="486"/>
      <c r="M121" s="486"/>
      <c r="N121" s="486"/>
      <c r="O121" s="493">
        <f t="shared" si="28"/>
        <v>0</v>
      </c>
    </row>
    <row r="122" s="456" customFormat="1" ht="18" customHeight="1" spans="1:15">
      <c r="A122" s="496"/>
      <c r="B122" s="497"/>
      <c r="C122" s="498"/>
      <c r="D122" s="498"/>
      <c r="E122" s="498"/>
      <c r="F122" s="499">
        <f t="shared" si="27"/>
        <v>0</v>
      </c>
      <c r="G122" s="479" t="s">
        <v>726</v>
      </c>
      <c r="H122" s="500" t="s">
        <v>1074</v>
      </c>
      <c r="I122" s="500"/>
      <c r="J122" s="484" t="s">
        <v>1075</v>
      </c>
      <c r="K122" s="139">
        <f t="shared" ref="K122:N122" si="35">SUM(K123:K130)</f>
        <v>9246</v>
      </c>
      <c r="L122" s="139">
        <f t="shared" si="35"/>
        <v>1941</v>
      </c>
      <c r="M122" s="139">
        <f t="shared" si="35"/>
        <v>13529</v>
      </c>
      <c r="N122" s="139">
        <f t="shared" si="35"/>
        <v>22155</v>
      </c>
      <c r="O122" s="493">
        <f t="shared" si="28"/>
        <v>139.62</v>
      </c>
    </row>
    <row r="123" s="456" customFormat="1" ht="18" customHeight="1" spans="1:15">
      <c r="A123" s="496"/>
      <c r="B123" s="497"/>
      <c r="C123" s="498"/>
      <c r="D123" s="498"/>
      <c r="E123" s="498"/>
      <c r="F123" s="499">
        <f t="shared" si="27"/>
        <v>0</v>
      </c>
      <c r="G123" s="479" t="s">
        <v>726</v>
      </c>
      <c r="H123" s="500" t="s">
        <v>1074</v>
      </c>
      <c r="I123" s="501" t="s">
        <v>903</v>
      </c>
      <c r="J123" s="131" t="s">
        <v>1028</v>
      </c>
      <c r="K123" s="486"/>
      <c r="L123" s="486">
        <v>0</v>
      </c>
      <c r="M123" s="486"/>
      <c r="N123" s="486"/>
      <c r="O123" s="493">
        <f t="shared" si="28"/>
        <v>0</v>
      </c>
    </row>
    <row r="124" s="456" customFormat="1" ht="18" customHeight="1" spans="1:15">
      <c r="A124" s="496"/>
      <c r="B124" s="497"/>
      <c r="C124" s="498"/>
      <c r="D124" s="498"/>
      <c r="E124" s="498"/>
      <c r="F124" s="499">
        <f t="shared" si="27"/>
        <v>0</v>
      </c>
      <c r="G124" s="479" t="s">
        <v>726</v>
      </c>
      <c r="H124" s="500" t="s">
        <v>1074</v>
      </c>
      <c r="I124" s="501" t="s">
        <v>906</v>
      </c>
      <c r="J124" s="131" t="s">
        <v>1029</v>
      </c>
      <c r="K124" s="486"/>
      <c r="L124" s="486">
        <v>0</v>
      </c>
      <c r="M124" s="486"/>
      <c r="N124" s="486"/>
      <c r="O124" s="493">
        <f t="shared" si="28"/>
        <v>0</v>
      </c>
    </row>
    <row r="125" s="456" customFormat="1" ht="18" customHeight="1" spans="1:15">
      <c r="A125" s="496"/>
      <c r="B125" s="497"/>
      <c r="C125" s="498"/>
      <c r="D125" s="498"/>
      <c r="E125" s="498"/>
      <c r="F125" s="499">
        <f t="shared" si="27"/>
        <v>0</v>
      </c>
      <c r="G125" s="479" t="s">
        <v>726</v>
      </c>
      <c r="H125" s="500" t="s">
        <v>1074</v>
      </c>
      <c r="I125" s="501" t="s">
        <v>909</v>
      </c>
      <c r="J125" s="131" t="s">
        <v>1030</v>
      </c>
      <c r="K125" s="486">
        <v>6561</v>
      </c>
      <c r="L125" s="486">
        <v>1941</v>
      </c>
      <c r="M125" s="486">
        <v>13527</v>
      </c>
      <c r="N125" s="486">
        <v>22155</v>
      </c>
      <c r="O125" s="493">
        <f t="shared" si="28"/>
        <v>237.68</v>
      </c>
    </row>
    <row r="126" s="456" customFormat="1" ht="18" customHeight="1" spans="1:15">
      <c r="A126" s="496"/>
      <c r="B126" s="497"/>
      <c r="C126" s="498"/>
      <c r="D126" s="498"/>
      <c r="E126" s="498"/>
      <c r="F126" s="499">
        <f t="shared" si="27"/>
        <v>0</v>
      </c>
      <c r="G126" s="479" t="s">
        <v>726</v>
      </c>
      <c r="H126" s="500" t="s">
        <v>1074</v>
      </c>
      <c r="I126" s="501" t="s">
        <v>911</v>
      </c>
      <c r="J126" s="131" t="s">
        <v>1031</v>
      </c>
      <c r="K126" s="486"/>
      <c r="L126" s="486">
        <v>0</v>
      </c>
      <c r="M126" s="486"/>
      <c r="N126" s="486"/>
      <c r="O126" s="493">
        <f t="shared" si="28"/>
        <v>0</v>
      </c>
    </row>
    <row r="127" s="456" customFormat="1" ht="18" customHeight="1" spans="1:15">
      <c r="A127" s="496"/>
      <c r="B127" s="497"/>
      <c r="C127" s="498"/>
      <c r="D127" s="498"/>
      <c r="E127" s="498"/>
      <c r="F127" s="499">
        <f t="shared" si="27"/>
        <v>0</v>
      </c>
      <c r="G127" s="479" t="s">
        <v>726</v>
      </c>
      <c r="H127" s="500" t="s">
        <v>1074</v>
      </c>
      <c r="I127" s="501" t="s">
        <v>928</v>
      </c>
      <c r="J127" s="131" t="s">
        <v>1035</v>
      </c>
      <c r="K127" s="486"/>
      <c r="L127" s="486">
        <v>0</v>
      </c>
      <c r="M127" s="486"/>
      <c r="N127" s="486"/>
      <c r="O127" s="493">
        <f t="shared" si="28"/>
        <v>0</v>
      </c>
    </row>
    <row r="128" s="456" customFormat="1" ht="18" customHeight="1" spans="1:15">
      <c r="A128" s="496"/>
      <c r="B128" s="497"/>
      <c r="C128" s="498"/>
      <c r="D128" s="498"/>
      <c r="E128" s="498"/>
      <c r="F128" s="499">
        <f t="shared" si="27"/>
        <v>0</v>
      </c>
      <c r="G128" s="479" t="s">
        <v>726</v>
      </c>
      <c r="H128" s="500" t="s">
        <v>1074</v>
      </c>
      <c r="I128" s="501" t="s">
        <v>1033</v>
      </c>
      <c r="J128" s="131" t="s">
        <v>1037</v>
      </c>
      <c r="K128" s="486"/>
      <c r="L128" s="486">
        <v>0</v>
      </c>
      <c r="M128" s="486"/>
      <c r="N128" s="486"/>
      <c r="O128" s="493">
        <f t="shared" si="28"/>
        <v>0</v>
      </c>
    </row>
    <row r="129" s="456" customFormat="1" ht="18" customHeight="1" spans="1:15">
      <c r="A129" s="496"/>
      <c r="B129" s="497"/>
      <c r="C129" s="498"/>
      <c r="D129" s="498"/>
      <c r="E129" s="498"/>
      <c r="F129" s="499">
        <f t="shared" si="27"/>
        <v>0</v>
      </c>
      <c r="G129" s="479" t="s">
        <v>726</v>
      </c>
      <c r="H129" s="500" t="s">
        <v>1074</v>
      </c>
      <c r="I129" s="501" t="s">
        <v>943</v>
      </c>
      <c r="J129" s="131" t="s">
        <v>1039</v>
      </c>
      <c r="K129" s="486"/>
      <c r="L129" s="486">
        <v>0</v>
      </c>
      <c r="M129" s="486"/>
      <c r="N129" s="486"/>
      <c r="O129" s="493">
        <f t="shared" si="28"/>
        <v>0</v>
      </c>
    </row>
    <row r="130" s="456" customFormat="1" ht="18" customHeight="1" spans="1:15">
      <c r="A130" s="496"/>
      <c r="B130" s="497"/>
      <c r="C130" s="498"/>
      <c r="D130" s="498"/>
      <c r="E130" s="498"/>
      <c r="F130" s="499">
        <f t="shared" si="27"/>
        <v>0</v>
      </c>
      <c r="G130" s="479" t="s">
        <v>726</v>
      </c>
      <c r="H130" s="500" t="s">
        <v>1074</v>
      </c>
      <c r="I130" s="501" t="s">
        <v>913</v>
      </c>
      <c r="J130" s="131" t="s">
        <v>1076</v>
      </c>
      <c r="K130" s="486">
        <v>2685</v>
      </c>
      <c r="L130" s="486"/>
      <c r="M130" s="486">
        <v>2</v>
      </c>
      <c r="N130" s="486"/>
      <c r="O130" s="493">
        <f t="shared" si="28"/>
        <v>-100</v>
      </c>
    </row>
    <row r="131" s="456" customFormat="1" ht="18" customHeight="1" spans="1:15">
      <c r="A131" s="496"/>
      <c r="B131" s="497"/>
      <c r="C131" s="498"/>
      <c r="D131" s="498"/>
      <c r="E131" s="498"/>
      <c r="F131" s="499">
        <f t="shared" si="27"/>
        <v>0</v>
      </c>
      <c r="G131" s="479" t="s">
        <v>726</v>
      </c>
      <c r="H131" s="500" t="s">
        <v>900</v>
      </c>
      <c r="I131" s="500"/>
      <c r="J131" s="484" t="s">
        <v>901</v>
      </c>
      <c r="K131" s="139">
        <f t="shared" ref="K131:N131" si="36">SUM(K132:K133)</f>
        <v>0</v>
      </c>
      <c r="L131" s="139">
        <f t="shared" si="36"/>
        <v>0</v>
      </c>
      <c r="M131" s="139">
        <f t="shared" si="36"/>
        <v>0</v>
      </c>
      <c r="N131" s="139">
        <f t="shared" si="36"/>
        <v>0</v>
      </c>
      <c r="O131" s="493">
        <f t="shared" si="28"/>
        <v>0</v>
      </c>
    </row>
    <row r="132" s="456" customFormat="1" ht="18" customHeight="1" spans="1:15">
      <c r="A132" s="496"/>
      <c r="B132" s="497"/>
      <c r="C132" s="498"/>
      <c r="D132" s="498"/>
      <c r="E132" s="498"/>
      <c r="F132" s="499">
        <f t="shared" si="27"/>
        <v>0</v>
      </c>
      <c r="G132" s="479" t="s">
        <v>726</v>
      </c>
      <c r="H132" s="500" t="s">
        <v>900</v>
      </c>
      <c r="I132" s="500" t="s">
        <v>903</v>
      </c>
      <c r="J132" s="129" t="s">
        <v>1077</v>
      </c>
      <c r="K132" s="486"/>
      <c r="L132" s="486"/>
      <c r="M132" s="486"/>
      <c r="N132" s="486"/>
      <c r="O132" s="493">
        <f t="shared" si="28"/>
        <v>0</v>
      </c>
    </row>
    <row r="133" s="456" customFormat="1" ht="18" customHeight="1" spans="1:15">
      <c r="A133" s="496"/>
      <c r="B133" s="497"/>
      <c r="C133" s="498"/>
      <c r="D133" s="498"/>
      <c r="E133" s="498"/>
      <c r="F133" s="499">
        <f t="shared" si="27"/>
        <v>0</v>
      </c>
      <c r="G133" s="479" t="s">
        <v>726</v>
      </c>
      <c r="H133" s="500" t="s">
        <v>900</v>
      </c>
      <c r="I133" s="500" t="s">
        <v>913</v>
      </c>
      <c r="J133" s="129" t="s">
        <v>1078</v>
      </c>
      <c r="K133" s="486"/>
      <c r="L133" s="486"/>
      <c r="M133" s="486"/>
      <c r="N133" s="486"/>
      <c r="O133" s="493">
        <f t="shared" si="28"/>
        <v>0</v>
      </c>
    </row>
    <row r="134" s="456" customFormat="1" ht="18" customHeight="1" spans="1:15">
      <c r="A134" s="496"/>
      <c r="B134" s="497"/>
      <c r="C134" s="498"/>
      <c r="D134" s="498"/>
      <c r="E134" s="498"/>
      <c r="F134" s="499">
        <f t="shared" si="27"/>
        <v>0</v>
      </c>
      <c r="G134" s="500" t="s">
        <v>740</v>
      </c>
      <c r="H134" s="500"/>
      <c r="I134" s="500"/>
      <c r="J134" s="484" t="s">
        <v>1079</v>
      </c>
      <c r="K134" s="485">
        <f t="shared" ref="K134:N134" si="37">K135+K140+K145+K150+K153+K158+K162+K166+K169</f>
        <v>972</v>
      </c>
      <c r="L134" s="485">
        <f t="shared" si="37"/>
        <v>8271</v>
      </c>
      <c r="M134" s="485">
        <f t="shared" si="37"/>
        <v>8271</v>
      </c>
      <c r="N134" s="485">
        <f t="shared" si="37"/>
        <v>820</v>
      </c>
      <c r="O134" s="493">
        <f t="shared" si="28"/>
        <v>-15.64</v>
      </c>
    </row>
    <row r="135" s="456" customFormat="1" ht="18" customHeight="1" spans="1:15">
      <c r="A135" s="496"/>
      <c r="B135" s="497"/>
      <c r="C135" s="498"/>
      <c r="D135" s="498"/>
      <c r="E135" s="498"/>
      <c r="F135" s="499">
        <f t="shared" si="27"/>
        <v>0</v>
      </c>
      <c r="G135" s="500" t="s">
        <v>740</v>
      </c>
      <c r="H135" s="500" t="s">
        <v>1080</v>
      </c>
      <c r="I135" s="500"/>
      <c r="J135" s="484" t="s">
        <v>1081</v>
      </c>
      <c r="K135" s="139">
        <f t="shared" ref="K135:N135" si="38">SUM(K136:K139)</f>
        <v>121</v>
      </c>
      <c r="L135" s="139">
        <f t="shared" si="38"/>
        <v>1091</v>
      </c>
      <c r="M135" s="139">
        <f t="shared" si="38"/>
        <v>1091</v>
      </c>
      <c r="N135" s="139">
        <f t="shared" si="38"/>
        <v>10</v>
      </c>
      <c r="O135" s="493">
        <f t="shared" si="28"/>
        <v>-91.74</v>
      </c>
    </row>
    <row r="136" s="456" customFormat="1" ht="18" customHeight="1" spans="1:15">
      <c r="A136" s="496"/>
      <c r="B136" s="497"/>
      <c r="C136" s="498"/>
      <c r="D136" s="498"/>
      <c r="E136" s="498"/>
      <c r="F136" s="499">
        <f t="shared" si="27"/>
        <v>0</v>
      </c>
      <c r="G136" s="500" t="s">
        <v>740</v>
      </c>
      <c r="H136" s="500" t="s">
        <v>1080</v>
      </c>
      <c r="I136" s="501" t="s">
        <v>903</v>
      </c>
      <c r="J136" s="131" t="s">
        <v>1082</v>
      </c>
      <c r="K136" s="486">
        <v>121</v>
      </c>
      <c r="L136" s="486">
        <v>1087</v>
      </c>
      <c r="M136" s="470">
        <v>1087</v>
      </c>
      <c r="N136" s="486">
        <v>10</v>
      </c>
      <c r="O136" s="493">
        <f t="shared" si="28"/>
        <v>-91.74</v>
      </c>
    </row>
    <row r="137" s="456" customFormat="1" ht="18" customHeight="1" spans="1:15">
      <c r="A137" s="496"/>
      <c r="B137" s="497"/>
      <c r="C137" s="498"/>
      <c r="D137" s="498"/>
      <c r="E137" s="498"/>
      <c r="F137" s="499">
        <f t="shared" si="27"/>
        <v>0</v>
      </c>
      <c r="G137" s="500" t="s">
        <v>740</v>
      </c>
      <c r="H137" s="500" t="s">
        <v>1080</v>
      </c>
      <c r="I137" s="501" t="s">
        <v>906</v>
      </c>
      <c r="J137" s="131" t="s">
        <v>1083</v>
      </c>
      <c r="K137" s="486"/>
      <c r="L137" s="486"/>
      <c r="M137" s="470"/>
      <c r="N137" s="486"/>
      <c r="O137" s="493">
        <f t="shared" si="28"/>
        <v>0</v>
      </c>
    </row>
    <row r="138" s="456" customFormat="1" ht="18" customHeight="1" spans="1:15">
      <c r="A138" s="496"/>
      <c r="B138" s="497"/>
      <c r="C138" s="498"/>
      <c r="D138" s="498"/>
      <c r="E138" s="498"/>
      <c r="F138" s="499">
        <f t="shared" si="27"/>
        <v>0</v>
      </c>
      <c r="G138" s="500" t="s">
        <v>740</v>
      </c>
      <c r="H138" s="500" t="s">
        <v>1080</v>
      </c>
      <c r="I138" s="501" t="s">
        <v>909</v>
      </c>
      <c r="J138" s="131" t="s">
        <v>1084</v>
      </c>
      <c r="K138" s="486"/>
      <c r="L138" s="486"/>
      <c r="M138" s="470"/>
      <c r="N138" s="486"/>
      <c r="O138" s="493">
        <f t="shared" si="28"/>
        <v>0</v>
      </c>
    </row>
    <row r="139" s="456" customFormat="1" ht="18" customHeight="1" spans="1:15">
      <c r="A139" s="496"/>
      <c r="B139" s="497"/>
      <c r="C139" s="498"/>
      <c r="D139" s="498"/>
      <c r="E139" s="498"/>
      <c r="F139" s="499">
        <f t="shared" si="27"/>
        <v>0</v>
      </c>
      <c r="G139" s="500" t="s">
        <v>740</v>
      </c>
      <c r="H139" s="500" t="s">
        <v>1080</v>
      </c>
      <c r="I139" s="501" t="s">
        <v>913</v>
      </c>
      <c r="J139" s="131" t="s">
        <v>1085</v>
      </c>
      <c r="K139" s="486"/>
      <c r="L139" s="486">
        <v>4</v>
      </c>
      <c r="M139" s="470">
        <v>4</v>
      </c>
      <c r="N139" s="486"/>
      <c r="O139" s="492">
        <f t="shared" si="28"/>
        <v>0</v>
      </c>
    </row>
    <row r="140" s="456" customFormat="1" ht="18" customHeight="1" spans="1:15">
      <c r="A140" s="496"/>
      <c r="B140" s="497"/>
      <c r="C140" s="498"/>
      <c r="D140" s="498"/>
      <c r="E140" s="498"/>
      <c r="F140" s="499"/>
      <c r="G140" s="500" t="s">
        <v>740</v>
      </c>
      <c r="H140" s="500" t="s">
        <v>1086</v>
      </c>
      <c r="I140" s="500"/>
      <c r="J140" s="484" t="s">
        <v>1087</v>
      </c>
      <c r="K140" s="139">
        <f t="shared" ref="K140:N140" si="39">SUM(K141:K144)</f>
        <v>0</v>
      </c>
      <c r="L140" s="139">
        <f t="shared" si="39"/>
        <v>0</v>
      </c>
      <c r="M140" s="139">
        <f t="shared" si="39"/>
        <v>0</v>
      </c>
      <c r="N140" s="139">
        <f t="shared" si="39"/>
        <v>0</v>
      </c>
      <c r="O140" s="492"/>
    </row>
    <row r="141" s="456" customFormat="1" ht="18" customHeight="1" spans="1:15">
      <c r="A141" s="496"/>
      <c r="B141" s="497"/>
      <c r="C141" s="498"/>
      <c r="D141" s="498"/>
      <c r="E141" s="498"/>
      <c r="F141" s="499">
        <f t="shared" ref="F141:F178" si="40">IF(B141=0,0,SUM(E141/B141-1)*100)</f>
        <v>0</v>
      </c>
      <c r="G141" s="500" t="s">
        <v>740</v>
      </c>
      <c r="H141" s="500" t="s">
        <v>1086</v>
      </c>
      <c r="I141" s="501" t="s">
        <v>903</v>
      </c>
      <c r="J141" s="131" t="s">
        <v>1082</v>
      </c>
      <c r="K141" s="486"/>
      <c r="L141" s="486"/>
      <c r="M141" s="486"/>
      <c r="N141" s="486"/>
      <c r="O141" s="493">
        <f t="shared" ref="O141:O176" si="41">IF(K141=0,0,SUM(N141/K141-1)*100)</f>
        <v>0</v>
      </c>
    </row>
    <row r="142" s="456" customFormat="1" ht="18" customHeight="1" spans="1:15">
      <c r="A142" s="496"/>
      <c r="B142" s="497"/>
      <c r="C142" s="498"/>
      <c r="D142" s="498"/>
      <c r="E142" s="498"/>
      <c r="F142" s="499">
        <f t="shared" si="40"/>
        <v>0</v>
      </c>
      <c r="G142" s="500" t="s">
        <v>740</v>
      </c>
      <c r="H142" s="500" t="s">
        <v>1086</v>
      </c>
      <c r="I142" s="501" t="s">
        <v>906</v>
      </c>
      <c r="J142" s="131" t="s">
        <v>1083</v>
      </c>
      <c r="K142" s="486"/>
      <c r="L142" s="486"/>
      <c r="M142" s="486"/>
      <c r="N142" s="486"/>
      <c r="O142" s="493">
        <f t="shared" si="41"/>
        <v>0</v>
      </c>
    </row>
    <row r="143" s="456" customFormat="1" ht="18" customHeight="1" spans="1:15">
      <c r="A143" s="496"/>
      <c r="B143" s="497"/>
      <c r="C143" s="498"/>
      <c r="D143" s="498"/>
      <c r="E143" s="498"/>
      <c r="F143" s="499">
        <f t="shared" si="40"/>
        <v>0</v>
      </c>
      <c r="G143" s="500" t="s">
        <v>740</v>
      </c>
      <c r="H143" s="500" t="s">
        <v>1086</v>
      </c>
      <c r="I143" s="501" t="s">
        <v>909</v>
      </c>
      <c r="J143" s="131" t="s">
        <v>1088</v>
      </c>
      <c r="K143" s="486"/>
      <c r="L143" s="486"/>
      <c r="M143" s="486"/>
      <c r="N143" s="486"/>
      <c r="O143" s="492">
        <f t="shared" si="41"/>
        <v>0</v>
      </c>
    </row>
    <row r="144" s="456" customFormat="1" ht="18" customHeight="1" spans="1:15">
      <c r="A144" s="496"/>
      <c r="B144" s="497"/>
      <c r="C144" s="498"/>
      <c r="D144" s="498"/>
      <c r="E144" s="498"/>
      <c r="F144" s="499">
        <f t="shared" si="40"/>
        <v>0</v>
      </c>
      <c r="G144" s="500" t="s">
        <v>740</v>
      </c>
      <c r="H144" s="500" t="s">
        <v>1086</v>
      </c>
      <c r="I144" s="501" t="s">
        <v>913</v>
      </c>
      <c r="J144" s="131" t="s">
        <v>1089</v>
      </c>
      <c r="K144" s="486"/>
      <c r="L144" s="486"/>
      <c r="M144" s="486"/>
      <c r="N144" s="486"/>
      <c r="O144" s="492">
        <f t="shared" si="41"/>
        <v>0</v>
      </c>
    </row>
    <row r="145" s="456" customFormat="1" ht="18" customHeight="1" spans="1:15">
      <c r="A145" s="496"/>
      <c r="B145" s="497"/>
      <c r="C145" s="498"/>
      <c r="D145" s="498"/>
      <c r="E145" s="498"/>
      <c r="F145" s="499">
        <f t="shared" si="40"/>
        <v>0</v>
      </c>
      <c r="G145" s="500" t="s">
        <v>740</v>
      </c>
      <c r="H145" s="500" t="s">
        <v>1090</v>
      </c>
      <c r="I145" s="500"/>
      <c r="J145" s="484" t="s">
        <v>1091</v>
      </c>
      <c r="K145" s="139">
        <f t="shared" ref="K145:N145" si="42">SUM(K146:K149)</f>
        <v>7</v>
      </c>
      <c r="L145" s="139">
        <f t="shared" si="42"/>
        <v>234</v>
      </c>
      <c r="M145" s="139">
        <f t="shared" si="42"/>
        <v>234</v>
      </c>
      <c r="N145" s="139">
        <f t="shared" si="42"/>
        <v>7</v>
      </c>
      <c r="O145" s="493">
        <f t="shared" si="41"/>
        <v>0</v>
      </c>
    </row>
    <row r="146" s="456" customFormat="1" ht="18" customHeight="1" spans="1:15">
      <c r="A146" s="496"/>
      <c r="B146" s="497"/>
      <c r="C146" s="498"/>
      <c r="D146" s="498"/>
      <c r="E146" s="498"/>
      <c r="F146" s="499">
        <f t="shared" si="40"/>
        <v>0</v>
      </c>
      <c r="G146" s="500" t="s">
        <v>740</v>
      </c>
      <c r="H146" s="500" t="s">
        <v>1090</v>
      </c>
      <c r="I146" s="501" t="s">
        <v>903</v>
      </c>
      <c r="J146" s="131" t="s">
        <v>1092</v>
      </c>
      <c r="K146" s="486"/>
      <c r="L146" s="486"/>
      <c r="M146" s="486"/>
      <c r="N146" s="486"/>
      <c r="O146" s="493">
        <f t="shared" si="41"/>
        <v>0</v>
      </c>
    </row>
    <row r="147" s="456" customFormat="1" ht="18" customHeight="1" spans="1:15">
      <c r="A147" s="496"/>
      <c r="B147" s="497"/>
      <c r="C147" s="498"/>
      <c r="D147" s="498"/>
      <c r="E147" s="498"/>
      <c r="F147" s="499">
        <f t="shared" si="40"/>
        <v>0</v>
      </c>
      <c r="G147" s="500" t="s">
        <v>740</v>
      </c>
      <c r="H147" s="500" t="s">
        <v>1090</v>
      </c>
      <c r="I147" s="501" t="s">
        <v>906</v>
      </c>
      <c r="J147" s="131" t="s">
        <v>1093</v>
      </c>
      <c r="K147" s="486"/>
      <c r="L147" s="486"/>
      <c r="M147" s="486"/>
      <c r="N147" s="486"/>
      <c r="O147" s="493">
        <f t="shared" si="41"/>
        <v>0</v>
      </c>
    </row>
    <row r="148" s="456" customFormat="1" ht="18" customHeight="1" spans="1:15">
      <c r="A148" s="496"/>
      <c r="B148" s="497"/>
      <c r="C148" s="498"/>
      <c r="D148" s="498"/>
      <c r="E148" s="498"/>
      <c r="F148" s="499">
        <f t="shared" si="40"/>
        <v>0</v>
      </c>
      <c r="G148" s="500" t="s">
        <v>740</v>
      </c>
      <c r="H148" s="500" t="s">
        <v>1090</v>
      </c>
      <c r="I148" s="501" t="s">
        <v>909</v>
      </c>
      <c r="J148" s="131" t="s">
        <v>1094</v>
      </c>
      <c r="K148" s="486">
        <v>7</v>
      </c>
      <c r="L148" s="486">
        <v>234</v>
      </c>
      <c r="M148" s="470">
        <v>234</v>
      </c>
      <c r="N148" s="486">
        <v>7</v>
      </c>
      <c r="O148" s="493">
        <f t="shared" si="41"/>
        <v>0</v>
      </c>
    </row>
    <row r="149" s="456" customFormat="1" ht="18" customHeight="1" spans="1:15">
      <c r="A149" s="496"/>
      <c r="B149" s="497"/>
      <c r="C149" s="498"/>
      <c r="D149" s="498"/>
      <c r="E149" s="498"/>
      <c r="F149" s="499">
        <f t="shared" si="40"/>
        <v>0</v>
      </c>
      <c r="G149" s="500" t="s">
        <v>740</v>
      </c>
      <c r="H149" s="500" t="s">
        <v>1090</v>
      </c>
      <c r="I149" s="501" t="s">
        <v>913</v>
      </c>
      <c r="J149" s="131" t="s">
        <v>1095</v>
      </c>
      <c r="K149" s="486"/>
      <c r="L149" s="486"/>
      <c r="M149" s="486"/>
      <c r="N149" s="486"/>
      <c r="O149" s="493">
        <f t="shared" si="41"/>
        <v>0</v>
      </c>
    </row>
    <row r="150" s="456" customFormat="1" ht="18" customHeight="1" spans="1:15">
      <c r="A150" s="496"/>
      <c r="B150" s="497"/>
      <c r="C150" s="498"/>
      <c r="D150" s="498"/>
      <c r="E150" s="498"/>
      <c r="F150" s="499">
        <f t="shared" si="40"/>
        <v>0</v>
      </c>
      <c r="G150" s="500" t="s">
        <v>740</v>
      </c>
      <c r="H150" s="500" t="s">
        <v>1096</v>
      </c>
      <c r="I150" s="500"/>
      <c r="J150" s="484" t="s">
        <v>1097</v>
      </c>
      <c r="K150" s="139">
        <f t="shared" ref="K150:N150" si="43">SUM(K151:K152)</f>
        <v>0</v>
      </c>
      <c r="L150" s="139">
        <f t="shared" si="43"/>
        <v>0</v>
      </c>
      <c r="M150" s="139">
        <f t="shared" si="43"/>
        <v>0</v>
      </c>
      <c r="N150" s="139">
        <f t="shared" si="43"/>
        <v>0</v>
      </c>
      <c r="O150" s="493">
        <f t="shared" si="41"/>
        <v>0</v>
      </c>
    </row>
    <row r="151" s="456" customFormat="1" ht="18" customHeight="1" spans="1:15">
      <c r="A151" s="496"/>
      <c r="B151" s="497"/>
      <c r="C151" s="498"/>
      <c r="D151" s="498"/>
      <c r="E151" s="498"/>
      <c r="F151" s="499">
        <f t="shared" si="40"/>
        <v>0</v>
      </c>
      <c r="G151" s="500" t="s">
        <v>740</v>
      </c>
      <c r="H151" s="500" t="s">
        <v>1096</v>
      </c>
      <c r="I151" s="501" t="s">
        <v>903</v>
      </c>
      <c r="J151" s="131" t="s">
        <v>1082</v>
      </c>
      <c r="K151" s="486"/>
      <c r="L151" s="486"/>
      <c r="M151" s="486"/>
      <c r="N151" s="486"/>
      <c r="O151" s="493">
        <f t="shared" si="41"/>
        <v>0</v>
      </c>
    </row>
    <row r="152" s="456" customFormat="1" ht="18" customHeight="1" spans="1:15">
      <c r="A152" s="496"/>
      <c r="B152" s="497"/>
      <c r="C152" s="498"/>
      <c r="D152" s="498"/>
      <c r="E152" s="498"/>
      <c r="F152" s="499">
        <f t="shared" si="40"/>
        <v>0</v>
      </c>
      <c r="G152" s="500" t="s">
        <v>740</v>
      </c>
      <c r="H152" s="500" t="s">
        <v>1096</v>
      </c>
      <c r="I152" s="501" t="s">
        <v>913</v>
      </c>
      <c r="J152" s="131" t="s">
        <v>1098</v>
      </c>
      <c r="K152" s="486"/>
      <c r="L152" s="486"/>
      <c r="M152" s="486"/>
      <c r="N152" s="486"/>
      <c r="O152" s="493">
        <f t="shared" si="41"/>
        <v>0</v>
      </c>
    </row>
    <row r="153" s="456" customFormat="1" ht="18" customHeight="1" spans="1:15">
      <c r="A153" s="496"/>
      <c r="B153" s="497"/>
      <c r="C153" s="498"/>
      <c r="D153" s="498"/>
      <c r="E153" s="498"/>
      <c r="F153" s="499">
        <f t="shared" si="40"/>
        <v>0</v>
      </c>
      <c r="G153" s="500" t="s">
        <v>740</v>
      </c>
      <c r="H153" s="501" t="s">
        <v>1099</v>
      </c>
      <c r="I153" s="501"/>
      <c r="J153" s="502" t="s">
        <v>1100</v>
      </c>
      <c r="K153" s="485">
        <f t="shared" ref="K153:N153" si="44">SUM(K154:K157)</f>
        <v>0</v>
      </c>
      <c r="L153" s="485">
        <f t="shared" si="44"/>
        <v>0</v>
      </c>
      <c r="M153" s="485">
        <f t="shared" si="44"/>
        <v>0</v>
      </c>
      <c r="N153" s="485">
        <f t="shared" si="44"/>
        <v>0</v>
      </c>
      <c r="O153" s="493">
        <f t="shared" si="41"/>
        <v>0</v>
      </c>
    </row>
    <row r="154" s="456" customFormat="1" ht="18" customHeight="1" spans="1:15">
      <c r="A154" s="496"/>
      <c r="B154" s="497"/>
      <c r="C154" s="498"/>
      <c r="D154" s="498"/>
      <c r="E154" s="498"/>
      <c r="F154" s="499">
        <f t="shared" si="40"/>
        <v>0</v>
      </c>
      <c r="G154" s="500" t="s">
        <v>740</v>
      </c>
      <c r="H154" s="501" t="s">
        <v>1099</v>
      </c>
      <c r="I154" s="501" t="s">
        <v>903</v>
      </c>
      <c r="J154" s="131" t="s">
        <v>1092</v>
      </c>
      <c r="K154" s="486"/>
      <c r="L154" s="486"/>
      <c r="M154" s="486"/>
      <c r="N154" s="486"/>
      <c r="O154" s="493">
        <f t="shared" si="41"/>
        <v>0</v>
      </c>
    </row>
    <row r="155" s="456" customFormat="1" ht="18" customHeight="1" spans="1:15">
      <c r="A155" s="496"/>
      <c r="B155" s="497"/>
      <c r="C155" s="498"/>
      <c r="D155" s="498"/>
      <c r="E155" s="498"/>
      <c r="F155" s="499">
        <f t="shared" si="40"/>
        <v>0</v>
      </c>
      <c r="G155" s="500" t="s">
        <v>740</v>
      </c>
      <c r="H155" s="501" t="s">
        <v>1099</v>
      </c>
      <c r="I155" s="501" t="s">
        <v>906</v>
      </c>
      <c r="J155" s="131" t="s">
        <v>1101</v>
      </c>
      <c r="K155" s="486"/>
      <c r="L155" s="486"/>
      <c r="M155" s="486"/>
      <c r="N155" s="486"/>
      <c r="O155" s="493">
        <f t="shared" si="41"/>
        <v>0</v>
      </c>
    </row>
    <row r="156" s="456" customFormat="1" ht="18" customHeight="1" spans="1:15">
      <c r="A156" s="496"/>
      <c r="B156" s="497"/>
      <c r="C156" s="498"/>
      <c r="D156" s="498"/>
      <c r="E156" s="498"/>
      <c r="F156" s="499">
        <f t="shared" si="40"/>
        <v>0</v>
      </c>
      <c r="G156" s="500" t="s">
        <v>740</v>
      </c>
      <c r="H156" s="501" t="s">
        <v>1099</v>
      </c>
      <c r="I156" s="501" t="s">
        <v>909</v>
      </c>
      <c r="J156" s="131" t="s">
        <v>1094</v>
      </c>
      <c r="K156" s="486"/>
      <c r="L156" s="486"/>
      <c r="M156" s="486"/>
      <c r="N156" s="486"/>
      <c r="O156" s="493">
        <f t="shared" si="41"/>
        <v>0</v>
      </c>
    </row>
    <row r="157" s="456" customFormat="1" ht="18" customHeight="1" spans="1:15">
      <c r="A157" s="496"/>
      <c r="B157" s="497"/>
      <c r="C157" s="498"/>
      <c r="D157" s="498"/>
      <c r="E157" s="498"/>
      <c r="F157" s="499">
        <f t="shared" si="40"/>
        <v>0</v>
      </c>
      <c r="G157" s="500" t="s">
        <v>740</v>
      </c>
      <c r="H157" s="501" t="s">
        <v>1099</v>
      </c>
      <c r="I157" s="501" t="s">
        <v>913</v>
      </c>
      <c r="J157" s="131" t="s">
        <v>1102</v>
      </c>
      <c r="K157" s="486"/>
      <c r="L157" s="486"/>
      <c r="M157" s="486"/>
      <c r="N157" s="486"/>
      <c r="O157" s="493">
        <f t="shared" si="41"/>
        <v>0</v>
      </c>
    </row>
    <row r="158" s="456" customFormat="1" ht="18" customHeight="1" spans="1:15">
      <c r="A158" s="496"/>
      <c r="B158" s="497"/>
      <c r="C158" s="498"/>
      <c r="D158" s="498"/>
      <c r="E158" s="498"/>
      <c r="F158" s="499">
        <f t="shared" si="40"/>
        <v>0</v>
      </c>
      <c r="G158" s="500" t="s">
        <v>740</v>
      </c>
      <c r="H158" s="501" t="s">
        <v>1103</v>
      </c>
      <c r="I158" s="501"/>
      <c r="J158" s="502" t="s">
        <v>1104</v>
      </c>
      <c r="K158" s="485">
        <f t="shared" ref="K158:N158" si="45">SUM(K159:K161)</f>
        <v>842</v>
      </c>
      <c r="L158" s="485">
        <f t="shared" si="45"/>
        <v>6691</v>
      </c>
      <c r="M158" s="485">
        <f t="shared" si="45"/>
        <v>6691</v>
      </c>
      <c r="N158" s="485">
        <f t="shared" si="45"/>
        <v>802</v>
      </c>
      <c r="O158" s="492">
        <f t="shared" si="41"/>
        <v>-4.75</v>
      </c>
    </row>
    <row r="159" s="456" customFormat="1" ht="18" customHeight="1" spans="1:15">
      <c r="A159" s="496"/>
      <c r="B159" s="497"/>
      <c r="C159" s="498"/>
      <c r="D159" s="498"/>
      <c r="E159" s="498"/>
      <c r="F159" s="499">
        <f t="shared" si="40"/>
        <v>0</v>
      </c>
      <c r="G159" s="500" t="s">
        <v>740</v>
      </c>
      <c r="H159" s="501" t="s">
        <v>1103</v>
      </c>
      <c r="I159" s="501" t="s">
        <v>903</v>
      </c>
      <c r="J159" s="131" t="s">
        <v>1105</v>
      </c>
      <c r="K159" s="486">
        <v>722</v>
      </c>
      <c r="L159" s="486">
        <v>578</v>
      </c>
      <c r="M159" s="470">
        <v>578</v>
      </c>
      <c r="N159" s="486">
        <v>577</v>
      </c>
      <c r="O159" s="493">
        <f t="shared" si="41"/>
        <v>-20.08</v>
      </c>
    </row>
    <row r="160" s="456" customFormat="1" ht="18" customHeight="1" spans="1:15">
      <c r="A160" s="496"/>
      <c r="B160" s="497"/>
      <c r="C160" s="498"/>
      <c r="D160" s="498"/>
      <c r="E160" s="498"/>
      <c r="F160" s="499">
        <f t="shared" si="40"/>
        <v>0</v>
      </c>
      <c r="G160" s="500" t="s">
        <v>740</v>
      </c>
      <c r="H160" s="501" t="s">
        <v>1103</v>
      </c>
      <c r="I160" s="501" t="s">
        <v>906</v>
      </c>
      <c r="J160" s="131" t="s">
        <v>1082</v>
      </c>
      <c r="K160" s="486">
        <v>120</v>
      </c>
      <c r="L160" s="486">
        <v>6113</v>
      </c>
      <c r="M160" s="470">
        <v>6113</v>
      </c>
      <c r="N160" s="486">
        <v>225</v>
      </c>
      <c r="O160" s="493">
        <f t="shared" si="41"/>
        <v>87.5</v>
      </c>
    </row>
    <row r="161" s="456" customFormat="1" ht="18" customHeight="1" spans="1:15">
      <c r="A161" s="496"/>
      <c r="B161" s="497"/>
      <c r="C161" s="498"/>
      <c r="D161" s="498"/>
      <c r="E161" s="498"/>
      <c r="F161" s="499">
        <f t="shared" si="40"/>
        <v>0</v>
      </c>
      <c r="G161" s="500" t="s">
        <v>740</v>
      </c>
      <c r="H161" s="501" t="s">
        <v>1103</v>
      </c>
      <c r="I161" s="501" t="s">
        <v>913</v>
      </c>
      <c r="J161" s="130" t="s">
        <v>1106</v>
      </c>
      <c r="K161" s="486"/>
      <c r="L161" s="486"/>
      <c r="M161" s="486"/>
      <c r="N161" s="486"/>
      <c r="O161" s="493">
        <f t="shared" si="41"/>
        <v>0</v>
      </c>
    </row>
    <row r="162" s="456" customFormat="1" ht="18" customHeight="1" spans="1:15">
      <c r="A162" s="496"/>
      <c r="B162" s="497"/>
      <c r="C162" s="498"/>
      <c r="D162" s="498"/>
      <c r="E162" s="498"/>
      <c r="F162" s="499">
        <f t="shared" si="40"/>
        <v>0</v>
      </c>
      <c r="G162" s="500" t="s">
        <v>740</v>
      </c>
      <c r="H162" s="501" t="s">
        <v>1107</v>
      </c>
      <c r="I162" s="501"/>
      <c r="J162" s="502" t="s">
        <v>1108</v>
      </c>
      <c r="K162" s="485">
        <f t="shared" ref="K162:N162" si="46">SUM(K163:K165)</f>
        <v>2</v>
      </c>
      <c r="L162" s="485">
        <f t="shared" si="46"/>
        <v>255</v>
      </c>
      <c r="M162" s="485">
        <f t="shared" si="46"/>
        <v>255</v>
      </c>
      <c r="N162" s="485">
        <f t="shared" si="46"/>
        <v>1</v>
      </c>
      <c r="O162" s="493">
        <f t="shared" si="41"/>
        <v>-50</v>
      </c>
    </row>
    <row r="163" s="456" customFormat="1" ht="18" customHeight="1" spans="1:15">
      <c r="A163" s="496"/>
      <c r="B163" s="497"/>
      <c r="C163" s="498"/>
      <c r="D163" s="498"/>
      <c r="E163" s="498"/>
      <c r="F163" s="499">
        <f t="shared" si="40"/>
        <v>0</v>
      </c>
      <c r="G163" s="500" t="s">
        <v>740</v>
      </c>
      <c r="H163" s="501" t="s">
        <v>1107</v>
      </c>
      <c r="I163" s="501" t="s">
        <v>903</v>
      </c>
      <c r="J163" s="131" t="s">
        <v>1105</v>
      </c>
      <c r="K163" s="486"/>
      <c r="L163" s="486"/>
      <c r="M163" s="486"/>
      <c r="N163" s="486"/>
      <c r="O163" s="493">
        <f t="shared" si="41"/>
        <v>0</v>
      </c>
    </row>
    <row r="164" s="456" customFormat="1" ht="18" customHeight="1" spans="1:15">
      <c r="A164" s="496"/>
      <c r="B164" s="497"/>
      <c r="C164" s="498"/>
      <c r="D164" s="498"/>
      <c r="E164" s="498"/>
      <c r="F164" s="499">
        <f t="shared" si="40"/>
        <v>0</v>
      </c>
      <c r="G164" s="500" t="s">
        <v>740</v>
      </c>
      <c r="H164" s="501" t="s">
        <v>1107</v>
      </c>
      <c r="I164" s="501" t="s">
        <v>906</v>
      </c>
      <c r="J164" s="131" t="s">
        <v>1082</v>
      </c>
      <c r="K164" s="486">
        <v>2</v>
      </c>
      <c r="L164" s="486">
        <v>255</v>
      </c>
      <c r="M164" s="470">
        <v>255</v>
      </c>
      <c r="N164" s="486">
        <v>1</v>
      </c>
      <c r="O164" s="493">
        <f t="shared" si="41"/>
        <v>-50</v>
      </c>
    </row>
    <row r="165" s="456" customFormat="1" ht="18" customHeight="1" spans="1:15">
      <c r="A165" s="496"/>
      <c r="B165" s="497"/>
      <c r="C165" s="498"/>
      <c r="D165" s="498"/>
      <c r="E165" s="498"/>
      <c r="F165" s="499">
        <f t="shared" si="40"/>
        <v>0</v>
      </c>
      <c r="G165" s="500" t="s">
        <v>740</v>
      </c>
      <c r="H165" s="501" t="s">
        <v>1107</v>
      </c>
      <c r="I165" s="501" t="s">
        <v>913</v>
      </c>
      <c r="J165" s="131" t="s">
        <v>1109</v>
      </c>
      <c r="K165" s="486"/>
      <c r="L165" s="486"/>
      <c r="M165" s="486"/>
      <c r="N165" s="486"/>
      <c r="O165" s="493">
        <f t="shared" si="41"/>
        <v>0</v>
      </c>
    </row>
    <row r="166" s="456" customFormat="1" ht="18" customHeight="1" spans="1:15">
      <c r="A166" s="496"/>
      <c r="B166" s="497"/>
      <c r="C166" s="498"/>
      <c r="D166" s="498"/>
      <c r="E166" s="498"/>
      <c r="F166" s="499">
        <f t="shared" si="40"/>
        <v>0</v>
      </c>
      <c r="G166" s="500" t="s">
        <v>740</v>
      </c>
      <c r="H166" s="501" t="s">
        <v>1110</v>
      </c>
      <c r="I166" s="501"/>
      <c r="J166" s="502" t="s">
        <v>1111</v>
      </c>
      <c r="K166" s="485">
        <f t="shared" ref="K166:N166" si="47">SUM(K167:K168)</f>
        <v>0</v>
      </c>
      <c r="L166" s="485">
        <f t="shared" si="47"/>
        <v>0</v>
      </c>
      <c r="M166" s="485">
        <f t="shared" si="47"/>
        <v>0</v>
      </c>
      <c r="N166" s="485">
        <f t="shared" si="47"/>
        <v>0</v>
      </c>
      <c r="O166" s="493">
        <f t="shared" si="41"/>
        <v>0</v>
      </c>
    </row>
    <row r="167" s="456" customFormat="1" ht="18" customHeight="1" spans="1:15">
      <c r="A167" s="496"/>
      <c r="B167" s="497"/>
      <c r="C167" s="498"/>
      <c r="D167" s="498"/>
      <c r="E167" s="498"/>
      <c r="F167" s="499">
        <f t="shared" si="40"/>
        <v>0</v>
      </c>
      <c r="G167" s="500" t="s">
        <v>740</v>
      </c>
      <c r="H167" s="501" t="s">
        <v>1110</v>
      </c>
      <c r="I167" s="501" t="s">
        <v>903</v>
      </c>
      <c r="J167" s="131" t="s">
        <v>1082</v>
      </c>
      <c r="K167" s="486"/>
      <c r="L167" s="486"/>
      <c r="M167" s="486"/>
      <c r="N167" s="486"/>
      <c r="O167" s="493">
        <f t="shared" si="41"/>
        <v>0</v>
      </c>
    </row>
    <row r="168" s="456" customFormat="1" ht="18" customHeight="1" spans="1:15">
      <c r="A168" s="496"/>
      <c r="B168" s="497"/>
      <c r="C168" s="498"/>
      <c r="D168" s="498"/>
      <c r="E168" s="498"/>
      <c r="F168" s="499">
        <f t="shared" si="40"/>
        <v>0</v>
      </c>
      <c r="G168" s="500" t="s">
        <v>740</v>
      </c>
      <c r="H168" s="501" t="s">
        <v>1110</v>
      </c>
      <c r="I168" s="501" t="s">
        <v>913</v>
      </c>
      <c r="J168" s="131" t="s">
        <v>1112</v>
      </c>
      <c r="K168" s="486"/>
      <c r="L168" s="486"/>
      <c r="M168" s="486"/>
      <c r="N168" s="486"/>
      <c r="O168" s="493">
        <f t="shared" si="41"/>
        <v>0</v>
      </c>
    </row>
    <row r="169" s="456" customFormat="1" ht="18" customHeight="1" spans="1:15">
      <c r="A169" s="496"/>
      <c r="B169" s="497"/>
      <c r="C169" s="498"/>
      <c r="D169" s="498"/>
      <c r="E169" s="498"/>
      <c r="F169" s="499">
        <f t="shared" si="40"/>
        <v>0</v>
      </c>
      <c r="G169" s="500" t="s">
        <v>740</v>
      </c>
      <c r="H169" s="501" t="s">
        <v>900</v>
      </c>
      <c r="I169" s="501"/>
      <c r="J169" s="502" t="s">
        <v>901</v>
      </c>
      <c r="K169" s="485">
        <f t="shared" ref="K169:N169" si="48">SUM(K170:K172)</f>
        <v>0</v>
      </c>
      <c r="L169" s="485">
        <f t="shared" si="48"/>
        <v>0</v>
      </c>
      <c r="M169" s="485">
        <f t="shared" si="48"/>
        <v>0</v>
      </c>
      <c r="N169" s="485">
        <f t="shared" si="48"/>
        <v>0</v>
      </c>
      <c r="O169" s="493">
        <f t="shared" si="41"/>
        <v>0</v>
      </c>
    </row>
    <row r="170" s="456" customFormat="1" ht="18" customHeight="1" spans="1:15">
      <c r="A170" s="496"/>
      <c r="B170" s="497"/>
      <c r="C170" s="498"/>
      <c r="D170" s="498"/>
      <c r="E170" s="498"/>
      <c r="F170" s="499">
        <f t="shared" si="40"/>
        <v>0</v>
      </c>
      <c r="G170" s="500" t="s">
        <v>740</v>
      </c>
      <c r="H170" s="501" t="s">
        <v>900</v>
      </c>
      <c r="I170" s="500" t="s">
        <v>903</v>
      </c>
      <c r="J170" s="129" t="s">
        <v>1113</v>
      </c>
      <c r="K170" s="486"/>
      <c r="L170" s="486"/>
      <c r="M170" s="486"/>
      <c r="N170" s="486"/>
      <c r="O170" s="492">
        <f t="shared" si="41"/>
        <v>0</v>
      </c>
    </row>
    <row r="171" s="456" customFormat="1" ht="18" customHeight="1" spans="1:15">
      <c r="A171" s="496"/>
      <c r="B171" s="497"/>
      <c r="C171" s="498"/>
      <c r="D171" s="498"/>
      <c r="E171" s="498"/>
      <c r="F171" s="499">
        <f t="shared" si="40"/>
        <v>0</v>
      </c>
      <c r="G171" s="500" t="s">
        <v>740</v>
      </c>
      <c r="H171" s="501" t="s">
        <v>900</v>
      </c>
      <c r="I171" s="500" t="s">
        <v>906</v>
      </c>
      <c r="J171" s="129" t="s">
        <v>1114</v>
      </c>
      <c r="K171" s="486"/>
      <c r="L171" s="486"/>
      <c r="M171" s="486"/>
      <c r="N171" s="486"/>
      <c r="O171" s="492">
        <f t="shared" si="41"/>
        <v>0</v>
      </c>
    </row>
    <row r="172" s="456" customFormat="1" ht="18" customHeight="1" spans="1:15">
      <c r="A172" s="496"/>
      <c r="B172" s="497"/>
      <c r="C172" s="498"/>
      <c r="D172" s="498"/>
      <c r="E172" s="498"/>
      <c r="F172" s="499">
        <f t="shared" si="40"/>
        <v>0</v>
      </c>
      <c r="G172" s="500" t="s">
        <v>740</v>
      </c>
      <c r="H172" s="501" t="s">
        <v>900</v>
      </c>
      <c r="I172" s="500" t="s">
        <v>913</v>
      </c>
      <c r="J172" s="129" t="s">
        <v>1115</v>
      </c>
      <c r="K172" s="486"/>
      <c r="L172" s="486"/>
      <c r="M172" s="486"/>
      <c r="N172" s="486"/>
      <c r="O172" s="492">
        <f t="shared" si="41"/>
        <v>0</v>
      </c>
    </row>
    <row r="173" s="456" customFormat="1" ht="18" customHeight="1" spans="1:15">
      <c r="A173" s="496"/>
      <c r="B173" s="497"/>
      <c r="C173" s="498"/>
      <c r="D173" s="498"/>
      <c r="E173" s="498"/>
      <c r="F173" s="499">
        <f t="shared" si="40"/>
        <v>0</v>
      </c>
      <c r="G173" s="500" t="s">
        <v>758</v>
      </c>
      <c r="H173" s="500"/>
      <c r="I173" s="500"/>
      <c r="J173" s="484" t="s">
        <v>1116</v>
      </c>
      <c r="K173" s="485">
        <f t="shared" ref="K173:N173" si="49">K174+K179+K184+K193+K200+K210+K213+K216+K217</f>
        <v>0</v>
      </c>
      <c r="L173" s="485">
        <f t="shared" si="49"/>
        <v>0</v>
      </c>
      <c r="M173" s="485">
        <f t="shared" si="49"/>
        <v>0</v>
      </c>
      <c r="N173" s="485">
        <f t="shared" si="49"/>
        <v>0</v>
      </c>
      <c r="O173" s="492">
        <f t="shared" si="41"/>
        <v>0</v>
      </c>
    </row>
    <row r="174" s="456" customFormat="1" ht="18" customHeight="1" spans="1:15">
      <c r="A174" s="496"/>
      <c r="B174" s="497"/>
      <c r="C174" s="498"/>
      <c r="D174" s="498"/>
      <c r="E174" s="498"/>
      <c r="F174" s="499">
        <f t="shared" si="40"/>
        <v>0</v>
      </c>
      <c r="G174" s="500" t="s">
        <v>758</v>
      </c>
      <c r="H174" s="500" t="s">
        <v>1004</v>
      </c>
      <c r="I174" s="500"/>
      <c r="J174" s="484" t="s">
        <v>1117</v>
      </c>
      <c r="K174" s="139">
        <f t="shared" ref="K174:N174" si="50">SUM(K175:K178)</f>
        <v>0</v>
      </c>
      <c r="L174" s="139">
        <f t="shared" si="50"/>
        <v>0</v>
      </c>
      <c r="M174" s="139">
        <f t="shared" si="50"/>
        <v>0</v>
      </c>
      <c r="N174" s="139">
        <f t="shared" si="50"/>
        <v>0</v>
      </c>
      <c r="O174" s="492">
        <f t="shared" si="41"/>
        <v>0</v>
      </c>
    </row>
    <row r="175" s="456" customFormat="1" ht="18" customHeight="1" spans="1:15">
      <c r="A175" s="496"/>
      <c r="B175" s="497"/>
      <c r="C175" s="498"/>
      <c r="D175" s="498"/>
      <c r="E175" s="498"/>
      <c r="F175" s="499">
        <f t="shared" si="40"/>
        <v>0</v>
      </c>
      <c r="G175" s="500" t="s">
        <v>758</v>
      </c>
      <c r="H175" s="500" t="s">
        <v>1004</v>
      </c>
      <c r="I175" s="500" t="s">
        <v>903</v>
      </c>
      <c r="J175" s="129" t="s">
        <v>1118</v>
      </c>
      <c r="K175" s="486"/>
      <c r="L175" s="486"/>
      <c r="M175" s="486"/>
      <c r="N175" s="486"/>
      <c r="O175" s="492">
        <f t="shared" si="41"/>
        <v>0</v>
      </c>
    </row>
    <row r="176" s="456" customFormat="1" ht="18" customHeight="1" spans="1:15">
      <c r="A176" s="496"/>
      <c r="B176" s="497"/>
      <c r="C176" s="498"/>
      <c r="D176" s="498"/>
      <c r="E176" s="498"/>
      <c r="F176" s="499">
        <f t="shared" si="40"/>
        <v>0</v>
      </c>
      <c r="G176" s="500" t="s">
        <v>758</v>
      </c>
      <c r="H176" s="500" t="s">
        <v>1004</v>
      </c>
      <c r="I176" s="500" t="s">
        <v>906</v>
      </c>
      <c r="J176" s="129" t="s">
        <v>1119</v>
      </c>
      <c r="K176" s="486"/>
      <c r="L176" s="486"/>
      <c r="M176" s="486"/>
      <c r="N176" s="486"/>
      <c r="O176" s="492">
        <f t="shared" si="41"/>
        <v>0</v>
      </c>
    </row>
    <row r="177" s="456" customFormat="1" ht="18" customHeight="1" spans="1:15">
      <c r="A177" s="496"/>
      <c r="B177" s="497"/>
      <c r="C177" s="498"/>
      <c r="D177" s="498"/>
      <c r="E177" s="498"/>
      <c r="F177" s="499">
        <f t="shared" si="40"/>
        <v>0</v>
      </c>
      <c r="G177" s="500" t="s">
        <v>758</v>
      </c>
      <c r="H177" s="500" t="s">
        <v>1004</v>
      </c>
      <c r="I177" s="500" t="s">
        <v>909</v>
      </c>
      <c r="J177" s="129" t="s">
        <v>1120</v>
      </c>
      <c r="K177" s="486"/>
      <c r="L177" s="486"/>
      <c r="M177" s="486"/>
      <c r="N177" s="486"/>
      <c r="O177" s="493"/>
    </row>
    <row r="178" s="456" customFormat="1" ht="18" customHeight="1" spans="1:15">
      <c r="A178" s="496"/>
      <c r="B178" s="497"/>
      <c r="C178" s="498"/>
      <c r="D178" s="498"/>
      <c r="E178" s="498"/>
      <c r="F178" s="499">
        <f t="shared" si="40"/>
        <v>0</v>
      </c>
      <c r="G178" s="500" t="s">
        <v>758</v>
      </c>
      <c r="H178" s="500" t="s">
        <v>1004</v>
      </c>
      <c r="I178" s="500" t="s">
        <v>913</v>
      </c>
      <c r="J178" s="129" t="s">
        <v>1121</v>
      </c>
      <c r="K178" s="486"/>
      <c r="L178" s="486"/>
      <c r="M178" s="486"/>
      <c r="N178" s="486"/>
      <c r="O178" s="493"/>
    </row>
    <row r="179" s="456" customFormat="1" ht="18" customHeight="1" spans="1:15">
      <c r="A179" s="496"/>
      <c r="B179" s="497"/>
      <c r="C179" s="498"/>
      <c r="D179" s="498"/>
      <c r="E179" s="498"/>
      <c r="F179" s="499"/>
      <c r="G179" s="500" t="s">
        <v>758</v>
      </c>
      <c r="H179" s="500" t="s">
        <v>1122</v>
      </c>
      <c r="I179" s="500"/>
      <c r="J179" s="484" t="s">
        <v>1123</v>
      </c>
      <c r="K179" s="139">
        <f t="shared" ref="K179:N179" si="51">SUM(K180:K183)</f>
        <v>0</v>
      </c>
      <c r="L179" s="139">
        <f t="shared" si="51"/>
        <v>0</v>
      </c>
      <c r="M179" s="139">
        <f t="shared" si="51"/>
        <v>0</v>
      </c>
      <c r="N179" s="139">
        <f t="shared" si="51"/>
        <v>0</v>
      </c>
      <c r="O179" s="493"/>
    </row>
    <row r="180" s="456" customFormat="1" ht="18" customHeight="1" spans="1:15">
      <c r="A180" s="496"/>
      <c r="B180" s="497"/>
      <c r="C180" s="498"/>
      <c r="D180" s="498"/>
      <c r="E180" s="498"/>
      <c r="F180" s="499"/>
      <c r="G180" s="500" t="s">
        <v>758</v>
      </c>
      <c r="H180" s="500" t="s">
        <v>1122</v>
      </c>
      <c r="I180" s="500" t="s">
        <v>903</v>
      </c>
      <c r="J180" s="129" t="s">
        <v>1120</v>
      </c>
      <c r="K180" s="486"/>
      <c r="L180" s="486"/>
      <c r="M180" s="486"/>
      <c r="N180" s="486"/>
      <c r="O180" s="493"/>
    </row>
    <row r="181" s="456" customFormat="1" ht="18" customHeight="1" spans="1:15">
      <c r="A181" s="496"/>
      <c r="B181" s="497"/>
      <c r="C181" s="498"/>
      <c r="D181" s="498"/>
      <c r="E181" s="498"/>
      <c r="F181" s="499"/>
      <c r="G181" s="500" t="s">
        <v>758</v>
      </c>
      <c r="H181" s="500" t="s">
        <v>1122</v>
      </c>
      <c r="I181" s="500" t="s">
        <v>906</v>
      </c>
      <c r="J181" s="129" t="s">
        <v>1124</v>
      </c>
      <c r="K181" s="486"/>
      <c r="L181" s="486"/>
      <c r="M181" s="486"/>
      <c r="N181" s="486"/>
      <c r="O181" s="493"/>
    </row>
    <row r="182" s="456" customFormat="1" ht="18" customHeight="1" spans="1:15">
      <c r="A182" s="496"/>
      <c r="B182" s="497"/>
      <c r="C182" s="498"/>
      <c r="D182" s="498"/>
      <c r="E182" s="498"/>
      <c r="F182" s="499"/>
      <c r="G182" s="500" t="s">
        <v>758</v>
      </c>
      <c r="H182" s="500" t="s">
        <v>1122</v>
      </c>
      <c r="I182" s="500" t="s">
        <v>909</v>
      </c>
      <c r="J182" s="129" t="s">
        <v>1125</v>
      </c>
      <c r="K182" s="486"/>
      <c r="L182" s="486"/>
      <c r="M182" s="486"/>
      <c r="N182" s="486"/>
      <c r="O182" s="493"/>
    </row>
    <row r="183" s="456" customFormat="1" ht="18" customHeight="1" spans="1:15">
      <c r="A183" s="496"/>
      <c r="B183" s="497"/>
      <c r="C183" s="498"/>
      <c r="D183" s="498"/>
      <c r="E183" s="498"/>
      <c r="F183" s="499"/>
      <c r="G183" s="500" t="s">
        <v>758</v>
      </c>
      <c r="H183" s="500" t="s">
        <v>1122</v>
      </c>
      <c r="I183" s="500" t="s">
        <v>913</v>
      </c>
      <c r="J183" s="129" t="s">
        <v>1126</v>
      </c>
      <c r="K183" s="486"/>
      <c r="L183" s="486"/>
      <c r="M183" s="486"/>
      <c r="N183" s="486"/>
      <c r="O183" s="493"/>
    </row>
    <row r="184" s="456" customFormat="1" ht="18" customHeight="1" spans="1:15">
      <c r="A184" s="496"/>
      <c r="B184" s="497"/>
      <c r="C184" s="498"/>
      <c r="D184" s="498"/>
      <c r="E184" s="498"/>
      <c r="F184" s="499"/>
      <c r="G184" s="500" t="s">
        <v>758</v>
      </c>
      <c r="H184" s="500" t="s">
        <v>1127</v>
      </c>
      <c r="I184" s="500"/>
      <c r="J184" s="484" t="s">
        <v>1128</v>
      </c>
      <c r="K184" s="139">
        <f t="shared" ref="K184:N184" si="52">SUM(K185:K192)</f>
        <v>0</v>
      </c>
      <c r="L184" s="139">
        <f t="shared" si="52"/>
        <v>0</v>
      </c>
      <c r="M184" s="139">
        <f t="shared" si="52"/>
        <v>0</v>
      </c>
      <c r="N184" s="139">
        <f t="shared" si="52"/>
        <v>0</v>
      </c>
      <c r="O184" s="493"/>
    </row>
    <row r="185" s="456" customFormat="1" ht="18" customHeight="1" spans="1:15">
      <c r="A185" s="496"/>
      <c r="B185" s="497"/>
      <c r="C185" s="498"/>
      <c r="D185" s="498"/>
      <c r="E185" s="498"/>
      <c r="F185" s="499"/>
      <c r="G185" s="500" t="s">
        <v>758</v>
      </c>
      <c r="H185" s="500" t="s">
        <v>1127</v>
      </c>
      <c r="I185" s="500" t="s">
        <v>903</v>
      </c>
      <c r="J185" s="129" t="s">
        <v>1129</v>
      </c>
      <c r="K185" s="486"/>
      <c r="L185" s="486"/>
      <c r="M185" s="486"/>
      <c r="N185" s="486"/>
      <c r="O185" s="493"/>
    </row>
    <row r="186" s="456" customFormat="1" ht="18" customHeight="1" spans="1:15">
      <c r="A186" s="496"/>
      <c r="B186" s="497"/>
      <c r="C186" s="498"/>
      <c r="D186" s="498"/>
      <c r="E186" s="498"/>
      <c r="F186" s="499"/>
      <c r="G186" s="500" t="s">
        <v>758</v>
      </c>
      <c r="H186" s="500" t="s">
        <v>1127</v>
      </c>
      <c r="I186" s="500" t="s">
        <v>906</v>
      </c>
      <c r="J186" s="129" t="s">
        <v>1130</v>
      </c>
      <c r="K186" s="486"/>
      <c r="L186" s="486"/>
      <c r="M186" s="486"/>
      <c r="N186" s="486"/>
      <c r="O186" s="493"/>
    </row>
    <row r="187" s="456" customFormat="1" ht="18" customHeight="1" spans="1:15">
      <c r="A187" s="496"/>
      <c r="B187" s="497"/>
      <c r="C187" s="498"/>
      <c r="D187" s="498"/>
      <c r="E187" s="498"/>
      <c r="F187" s="499"/>
      <c r="G187" s="500" t="s">
        <v>758</v>
      </c>
      <c r="H187" s="500" t="s">
        <v>1127</v>
      </c>
      <c r="I187" s="500" t="s">
        <v>909</v>
      </c>
      <c r="J187" s="129" t="s">
        <v>1131</v>
      </c>
      <c r="K187" s="486"/>
      <c r="L187" s="486"/>
      <c r="M187" s="486"/>
      <c r="N187" s="486"/>
      <c r="O187" s="493"/>
    </row>
    <row r="188" s="456" customFormat="1" ht="18" customHeight="1" spans="1:15">
      <c r="A188" s="496"/>
      <c r="B188" s="497"/>
      <c r="C188" s="498"/>
      <c r="D188" s="498"/>
      <c r="E188" s="498"/>
      <c r="F188" s="499"/>
      <c r="G188" s="500" t="s">
        <v>758</v>
      </c>
      <c r="H188" s="500" t="s">
        <v>1127</v>
      </c>
      <c r="I188" s="500" t="s">
        <v>911</v>
      </c>
      <c r="J188" s="129" t="s">
        <v>1132</v>
      </c>
      <c r="K188" s="486"/>
      <c r="L188" s="486"/>
      <c r="M188" s="486"/>
      <c r="N188" s="486"/>
      <c r="O188" s="493"/>
    </row>
    <row r="189" s="456" customFormat="1" ht="18" customHeight="1" spans="1:15">
      <c r="A189" s="496"/>
      <c r="B189" s="497"/>
      <c r="C189" s="498"/>
      <c r="D189" s="498"/>
      <c r="E189" s="498"/>
      <c r="F189" s="499"/>
      <c r="G189" s="500" t="s">
        <v>758</v>
      </c>
      <c r="H189" s="500" t="s">
        <v>1127</v>
      </c>
      <c r="I189" s="500" t="s">
        <v>928</v>
      </c>
      <c r="J189" s="129" t="s">
        <v>1133</v>
      </c>
      <c r="K189" s="486"/>
      <c r="L189" s="486"/>
      <c r="M189" s="486"/>
      <c r="N189" s="486"/>
      <c r="O189" s="493"/>
    </row>
    <row r="190" s="456" customFormat="1" ht="18" customHeight="1" spans="1:15">
      <c r="A190" s="496"/>
      <c r="B190" s="497"/>
      <c r="C190" s="498"/>
      <c r="D190" s="498"/>
      <c r="E190" s="498"/>
      <c r="F190" s="499"/>
      <c r="G190" s="500" t="s">
        <v>758</v>
      </c>
      <c r="H190" s="500" t="s">
        <v>1127</v>
      </c>
      <c r="I190" s="500" t="s">
        <v>1033</v>
      </c>
      <c r="J190" s="129" t="s">
        <v>1134</v>
      </c>
      <c r="K190" s="486"/>
      <c r="L190" s="486"/>
      <c r="M190" s="486"/>
      <c r="N190" s="486"/>
      <c r="O190" s="493"/>
    </row>
    <row r="191" s="456" customFormat="1" ht="18" customHeight="1" spans="1:15">
      <c r="A191" s="496"/>
      <c r="B191" s="497"/>
      <c r="C191" s="498"/>
      <c r="D191" s="498"/>
      <c r="E191" s="498"/>
      <c r="F191" s="499"/>
      <c r="G191" s="500" t="s">
        <v>758</v>
      </c>
      <c r="H191" s="500" t="s">
        <v>1127</v>
      </c>
      <c r="I191" s="500" t="s">
        <v>943</v>
      </c>
      <c r="J191" s="129" t="s">
        <v>1135</v>
      </c>
      <c r="K191" s="486"/>
      <c r="L191" s="486"/>
      <c r="M191" s="486"/>
      <c r="N191" s="486"/>
      <c r="O191" s="493"/>
    </row>
    <row r="192" s="456" customFormat="1" ht="18" customHeight="1" spans="1:15">
      <c r="A192" s="496"/>
      <c r="B192" s="497"/>
      <c r="C192" s="498"/>
      <c r="D192" s="498"/>
      <c r="E192" s="498"/>
      <c r="F192" s="499"/>
      <c r="G192" s="500" t="s">
        <v>758</v>
      </c>
      <c r="H192" s="500" t="s">
        <v>1127</v>
      </c>
      <c r="I192" s="500" t="s">
        <v>913</v>
      </c>
      <c r="J192" s="129" t="s">
        <v>1136</v>
      </c>
      <c r="K192" s="486"/>
      <c r="L192" s="486"/>
      <c r="M192" s="486"/>
      <c r="N192" s="486"/>
      <c r="O192" s="493"/>
    </row>
    <row r="193" s="456" customFormat="1" ht="18" customHeight="1" spans="1:15">
      <c r="A193" s="496"/>
      <c r="B193" s="497"/>
      <c r="C193" s="498"/>
      <c r="D193" s="498"/>
      <c r="E193" s="498"/>
      <c r="F193" s="499"/>
      <c r="G193" s="500" t="s">
        <v>758</v>
      </c>
      <c r="H193" s="500" t="s">
        <v>1137</v>
      </c>
      <c r="I193" s="500"/>
      <c r="J193" s="484" t="s">
        <v>1138</v>
      </c>
      <c r="K193" s="139">
        <f t="shared" ref="K193:N193" si="53">SUM(K194:K199)</f>
        <v>0</v>
      </c>
      <c r="L193" s="139">
        <f t="shared" si="53"/>
        <v>0</v>
      </c>
      <c r="M193" s="139">
        <f t="shared" si="53"/>
        <v>0</v>
      </c>
      <c r="N193" s="139">
        <f t="shared" si="53"/>
        <v>0</v>
      </c>
      <c r="O193" s="493"/>
    </row>
    <row r="194" s="456" customFormat="1" ht="18" customHeight="1" spans="1:15">
      <c r="A194" s="496"/>
      <c r="B194" s="497"/>
      <c r="C194" s="498"/>
      <c r="D194" s="498"/>
      <c r="E194" s="498"/>
      <c r="F194" s="499"/>
      <c r="G194" s="500" t="s">
        <v>758</v>
      </c>
      <c r="H194" s="500" t="s">
        <v>1137</v>
      </c>
      <c r="I194" s="500" t="s">
        <v>903</v>
      </c>
      <c r="J194" s="129" t="s">
        <v>1139</v>
      </c>
      <c r="K194" s="486"/>
      <c r="L194" s="486"/>
      <c r="M194" s="486"/>
      <c r="N194" s="486"/>
      <c r="O194" s="493"/>
    </row>
    <row r="195" s="456" customFormat="1" ht="18" customHeight="1" spans="1:15">
      <c r="A195" s="496"/>
      <c r="B195" s="497"/>
      <c r="C195" s="498"/>
      <c r="D195" s="498"/>
      <c r="E195" s="498"/>
      <c r="F195" s="499"/>
      <c r="G195" s="500" t="s">
        <v>758</v>
      </c>
      <c r="H195" s="500" t="s">
        <v>1137</v>
      </c>
      <c r="I195" s="500" t="s">
        <v>906</v>
      </c>
      <c r="J195" s="129" t="s">
        <v>1140</v>
      </c>
      <c r="K195" s="486"/>
      <c r="L195" s="486"/>
      <c r="M195" s="486"/>
      <c r="N195" s="486"/>
      <c r="O195" s="493"/>
    </row>
    <row r="196" s="456" customFormat="1" ht="18" customHeight="1" spans="1:15">
      <c r="A196" s="496"/>
      <c r="B196" s="497"/>
      <c r="C196" s="498"/>
      <c r="D196" s="498"/>
      <c r="E196" s="498"/>
      <c r="F196" s="499"/>
      <c r="G196" s="500" t="s">
        <v>758</v>
      </c>
      <c r="H196" s="500" t="s">
        <v>1137</v>
      </c>
      <c r="I196" s="500" t="s">
        <v>909</v>
      </c>
      <c r="J196" s="129" t="s">
        <v>1141</v>
      </c>
      <c r="K196" s="486"/>
      <c r="L196" s="486"/>
      <c r="M196" s="486"/>
      <c r="N196" s="486"/>
      <c r="O196" s="493"/>
    </row>
    <row r="197" s="456" customFormat="1" ht="18" customHeight="1" spans="1:15">
      <c r="A197" s="496"/>
      <c r="B197" s="497"/>
      <c r="C197" s="498"/>
      <c r="D197" s="498"/>
      <c r="E197" s="498"/>
      <c r="F197" s="499"/>
      <c r="G197" s="500" t="s">
        <v>758</v>
      </c>
      <c r="H197" s="500" t="s">
        <v>1137</v>
      </c>
      <c r="I197" s="500" t="s">
        <v>911</v>
      </c>
      <c r="J197" s="129" t="s">
        <v>1142</v>
      </c>
      <c r="K197" s="486"/>
      <c r="L197" s="486"/>
      <c r="M197" s="486"/>
      <c r="N197" s="486"/>
      <c r="O197" s="493"/>
    </row>
    <row r="198" s="456" customFormat="1" ht="18" customHeight="1" spans="1:15">
      <c r="A198" s="496"/>
      <c r="B198" s="497"/>
      <c r="C198" s="498"/>
      <c r="D198" s="498"/>
      <c r="E198" s="498"/>
      <c r="F198" s="499"/>
      <c r="G198" s="500" t="s">
        <v>758</v>
      </c>
      <c r="H198" s="500" t="s">
        <v>1137</v>
      </c>
      <c r="I198" s="500" t="s">
        <v>928</v>
      </c>
      <c r="J198" s="129" t="s">
        <v>1143</v>
      </c>
      <c r="K198" s="486"/>
      <c r="L198" s="486"/>
      <c r="M198" s="486"/>
      <c r="N198" s="486"/>
      <c r="O198" s="493"/>
    </row>
    <row r="199" s="456" customFormat="1" ht="18" customHeight="1" spans="1:15">
      <c r="A199" s="496"/>
      <c r="B199" s="497"/>
      <c r="C199" s="498"/>
      <c r="D199" s="498"/>
      <c r="E199" s="498"/>
      <c r="F199" s="499"/>
      <c r="G199" s="500" t="s">
        <v>758</v>
      </c>
      <c r="H199" s="500" t="s">
        <v>1137</v>
      </c>
      <c r="I199" s="500" t="s">
        <v>913</v>
      </c>
      <c r="J199" s="129" t="s">
        <v>1144</v>
      </c>
      <c r="K199" s="486"/>
      <c r="L199" s="486"/>
      <c r="M199" s="486"/>
      <c r="N199" s="486"/>
      <c r="O199" s="493"/>
    </row>
    <row r="200" s="456" customFormat="1" ht="18" customHeight="1" spans="1:15">
      <c r="A200" s="496"/>
      <c r="B200" s="497"/>
      <c r="C200" s="498"/>
      <c r="D200" s="498"/>
      <c r="E200" s="498"/>
      <c r="F200" s="499"/>
      <c r="G200" s="500" t="s">
        <v>758</v>
      </c>
      <c r="H200" s="500" t="s">
        <v>1090</v>
      </c>
      <c r="I200" s="500"/>
      <c r="J200" s="484" t="s">
        <v>1145</v>
      </c>
      <c r="K200" s="139">
        <f t="shared" ref="K200:N200" si="54">SUM(K201:K209)</f>
        <v>0</v>
      </c>
      <c r="L200" s="139">
        <f t="shared" si="54"/>
        <v>0</v>
      </c>
      <c r="M200" s="139">
        <f t="shared" si="54"/>
        <v>0</v>
      </c>
      <c r="N200" s="139">
        <f t="shared" si="54"/>
        <v>0</v>
      </c>
      <c r="O200" s="493"/>
    </row>
    <row r="201" s="456" customFormat="1" ht="18" customHeight="1" spans="1:15">
      <c r="A201" s="496"/>
      <c r="B201" s="497"/>
      <c r="C201" s="498"/>
      <c r="D201" s="498"/>
      <c r="E201" s="498"/>
      <c r="F201" s="499"/>
      <c r="G201" s="500" t="s">
        <v>758</v>
      </c>
      <c r="H201" s="500" t="s">
        <v>1090</v>
      </c>
      <c r="I201" s="500" t="s">
        <v>903</v>
      </c>
      <c r="J201" s="129" t="s">
        <v>1146</v>
      </c>
      <c r="K201" s="486"/>
      <c r="L201" s="486"/>
      <c r="M201" s="486"/>
      <c r="N201" s="486"/>
      <c r="O201" s="493"/>
    </row>
    <row r="202" s="456" customFormat="1" ht="18" customHeight="1" spans="1:15">
      <c r="A202" s="496"/>
      <c r="B202" s="497"/>
      <c r="C202" s="498"/>
      <c r="D202" s="498"/>
      <c r="E202" s="498"/>
      <c r="F202" s="499"/>
      <c r="G202" s="500" t="s">
        <v>758</v>
      </c>
      <c r="H202" s="500" t="s">
        <v>1090</v>
      </c>
      <c r="I202" s="500" t="s">
        <v>906</v>
      </c>
      <c r="J202" s="129" t="s">
        <v>1147</v>
      </c>
      <c r="K202" s="486"/>
      <c r="L202" s="486"/>
      <c r="M202" s="486"/>
      <c r="N202" s="486"/>
      <c r="O202" s="493"/>
    </row>
    <row r="203" s="456" customFormat="1" ht="18" customHeight="1" spans="1:15">
      <c r="A203" s="496"/>
      <c r="B203" s="497"/>
      <c r="C203" s="498"/>
      <c r="D203" s="498"/>
      <c r="E203" s="498"/>
      <c r="F203" s="499"/>
      <c r="G203" s="500" t="s">
        <v>758</v>
      </c>
      <c r="H203" s="500" t="s">
        <v>1090</v>
      </c>
      <c r="I203" s="500" t="s">
        <v>909</v>
      </c>
      <c r="J203" s="129" t="s">
        <v>1148</v>
      </c>
      <c r="K203" s="486"/>
      <c r="L203" s="486"/>
      <c r="M203" s="486"/>
      <c r="N203" s="486"/>
      <c r="O203" s="493"/>
    </row>
    <row r="204" s="456" customFormat="1" ht="18" customHeight="1" spans="1:15">
      <c r="A204" s="496"/>
      <c r="B204" s="497"/>
      <c r="C204" s="498"/>
      <c r="D204" s="498"/>
      <c r="E204" s="498"/>
      <c r="F204" s="499"/>
      <c r="G204" s="500" t="s">
        <v>758</v>
      </c>
      <c r="H204" s="500" t="s">
        <v>1090</v>
      </c>
      <c r="I204" s="500" t="s">
        <v>911</v>
      </c>
      <c r="J204" s="129" t="s">
        <v>1149</v>
      </c>
      <c r="K204" s="486"/>
      <c r="L204" s="486"/>
      <c r="M204" s="486"/>
      <c r="N204" s="486"/>
      <c r="O204" s="493"/>
    </row>
    <row r="205" s="456" customFormat="1" ht="18" customHeight="1" spans="1:15">
      <c r="A205" s="496"/>
      <c r="B205" s="497"/>
      <c r="C205" s="498"/>
      <c r="D205" s="498"/>
      <c r="E205" s="498"/>
      <c r="F205" s="499"/>
      <c r="G205" s="500" t="s">
        <v>758</v>
      </c>
      <c r="H205" s="500" t="s">
        <v>1090</v>
      </c>
      <c r="I205" s="500" t="s">
        <v>1033</v>
      </c>
      <c r="J205" s="129" t="s">
        <v>1150</v>
      </c>
      <c r="K205" s="486"/>
      <c r="L205" s="486"/>
      <c r="M205" s="486"/>
      <c r="N205" s="486"/>
      <c r="O205" s="493"/>
    </row>
    <row r="206" s="456" customFormat="1" ht="18" customHeight="1" spans="1:15">
      <c r="A206" s="496"/>
      <c r="B206" s="497"/>
      <c r="C206" s="498"/>
      <c r="D206" s="498"/>
      <c r="E206" s="498"/>
      <c r="F206" s="499"/>
      <c r="G206" s="500" t="s">
        <v>758</v>
      </c>
      <c r="H206" s="500" t="s">
        <v>1090</v>
      </c>
      <c r="I206" s="500" t="s">
        <v>943</v>
      </c>
      <c r="J206" s="129" t="s">
        <v>1151</v>
      </c>
      <c r="K206" s="486"/>
      <c r="L206" s="486"/>
      <c r="M206" s="486"/>
      <c r="N206" s="486"/>
      <c r="O206" s="493"/>
    </row>
    <row r="207" s="456" customFormat="1" ht="18" customHeight="1" spans="1:15">
      <c r="A207" s="496"/>
      <c r="B207" s="497"/>
      <c r="C207" s="498"/>
      <c r="D207" s="498"/>
      <c r="E207" s="498"/>
      <c r="F207" s="499"/>
      <c r="G207" s="500" t="s">
        <v>758</v>
      </c>
      <c r="H207" s="500" t="s">
        <v>1090</v>
      </c>
      <c r="I207" s="500" t="s">
        <v>1025</v>
      </c>
      <c r="J207" s="129" t="s">
        <v>1152</v>
      </c>
      <c r="K207" s="486"/>
      <c r="L207" s="486"/>
      <c r="M207" s="486"/>
      <c r="N207" s="486"/>
      <c r="O207" s="493"/>
    </row>
    <row r="208" s="456" customFormat="1" ht="18" customHeight="1" spans="1:15">
      <c r="A208" s="496"/>
      <c r="B208" s="497"/>
      <c r="C208" s="498"/>
      <c r="D208" s="498"/>
      <c r="E208" s="498"/>
      <c r="F208" s="499"/>
      <c r="G208" s="500" t="s">
        <v>758</v>
      </c>
      <c r="H208" s="500" t="s">
        <v>1090</v>
      </c>
      <c r="I208" s="500" t="s">
        <v>956</v>
      </c>
      <c r="J208" s="129" t="s">
        <v>1153</v>
      </c>
      <c r="K208" s="486"/>
      <c r="L208" s="486"/>
      <c r="M208" s="486"/>
      <c r="N208" s="486"/>
      <c r="O208" s="493"/>
    </row>
    <row r="209" s="456" customFormat="1" ht="18" customHeight="1" spans="1:15">
      <c r="A209" s="496"/>
      <c r="B209" s="497"/>
      <c r="C209" s="498"/>
      <c r="D209" s="498"/>
      <c r="E209" s="498"/>
      <c r="F209" s="499"/>
      <c r="G209" s="500" t="s">
        <v>758</v>
      </c>
      <c r="H209" s="500" t="s">
        <v>1090</v>
      </c>
      <c r="I209" s="500" t="s">
        <v>913</v>
      </c>
      <c r="J209" s="129" t="s">
        <v>1154</v>
      </c>
      <c r="K209" s="486"/>
      <c r="L209" s="486"/>
      <c r="M209" s="486"/>
      <c r="N209" s="486"/>
      <c r="O209" s="493"/>
    </row>
    <row r="210" s="456" customFormat="1" ht="18" customHeight="1" spans="1:15">
      <c r="A210" s="496"/>
      <c r="B210" s="497"/>
      <c r="C210" s="498"/>
      <c r="D210" s="498"/>
      <c r="E210" s="498"/>
      <c r="F210" s="499"/>
      <c r="G210" s="500" t="s">
        <v>758</v>
      </c>
      <c r="H210" s="500" t="s">
        <v>1096</v>
      </c>
      <c r="I210" s="500"/>
      <c r="J210" s="484" t="s">
        <v>1155</v>
      </c>
      <c r="K210" s="139">
        <f t="shared" ref="K210:N210" si="55">SUM(K211:K212)</f>
        <v>0</v>
      </c>
      <c r="L210" s="139">
        <f t="shared" si="55"/>
        <v>0</v>
      </c>
      <c r="M210" s="139">
        <f t="shared" si="55"/>
        <v>0</v>
      </c>
      <c r="N210" s="139">
        <f t="shared" si="55"/>
        <v>0</v>
      </c>
      <c r="O210" s="493"/>
    </row>
    <row r="211" s="456" customFormat="1" ht="18" customHeight="1" spans="1:15">
      <c r="A211" s="496"/>
      <c r="B211" s="497"/>
      <c r="C211" s="498"/>
      <c r="D211" s="498"/>
      <c r="E211" s="498"/>
      <c r="F211" s="499"/>
      <c r="G211" s="500" t="s">
        <v>758</v>
      </c>
      <c r="H211" s="500" t="s">
        <v>1096</v>
      </c>
      <c r="I211" s="500" t="s">
        <v>903</v>
      </c>
      <c r="J211" s="129" t="s">
        <v>1118</v>
      </c>
      <c r="K211" s="486"/>
      <c r="L211" s="486"/>
      <c r="M211" s="486"/>
      <c r="N211" s="486"/>
      <c r="O211" s="493"/>
    </row>
    <row r="212" s="456" customFormat="1" ht="18" customHeight="1" spans="1:15">
      <c r="A212" s="496"/>
      <c r="B212" s="497"/>
      <c r="C212" s="498"/>
      <c r="D212" s="498"/>
      <c r="E212" s="498"/>
      <c r="F212" s="499"/>
      <c r="G212" s="500" t="s">
        <v>758</v>
      </c>
      <c r="H212" s="500" t="s">
        <v>1096</v>
      </c>
      <c r="I212" s="500" t="s">
        <v>913</v>
      </c>
      <c r="J212" s="129" t="s">
        <v>1156</v>
      </c>
      <c r="K212" s="486"/>
      <c r="L212" s="486"/>
      <c r="M212" s="486"/>
      <c r="N212" s="486"/>
      <c r="O212" s="493"/>
    </row>
    <row r="213" s="456" customFormat="1" ht="18" customHeight="1" spans="1:15">
      <c r="A213" s="496"/>
      <c r="B213" s="497"/>
      <c r="C213" s="498"/>
      <c r="D213" s="498"/>
      <c r="E213" s="498"/>
      <c r="F213" s="499"/>
      <c r="G213" s="500" t="s">
        <v>758</v>
      </c>
      <c r="H213" s="500" t="s">
        <v>1099</v>
      </c>
      <c r="I213" s="500"/>
      <c r="J213" s="484" t="s">
        <v>1157</v>
      </c>
      <c r="K213" s="139">
        <f t="shared" ref="K213:N213" si="56">SUM(K214:K215)</f>
        <v>0</v>
      </c>
      <c r="L213" s="139">
        <f t="shared" si="56"/>
        <v>0</v>
      </c>
      <c r="M213" s="139">
        <f t="shared" si="56"/>
        <v>0</v>
      </c>
      <c r="N213" s="139">
        <f t="shared" si="56"/>
        <v>0</v>
      </c>
      <c r="O213" s="493"/>
    </row>
    <row r="214" s="456" customFormat="1" ht="18" customHeight="1" spans="1:15">
      <c r="A214" s="496"/>
      <c r="B214" s="497"/>
      <c r="C214" s="498"/>
      <c r="D214" s="498"/>
      <c r="E214" s="498"/>
      <c r="F214" s="499"/>
      <c r="G214" s="500" t="s">
        <v>758</v>
      </c>
      <c r="H214" s="500" t="s">
        <v>1099</v>
      </c>
      <c r="I214" s="500" t="s">
        <v>903</v>
      </c>
      <c r="J214" s="129" t="s">
        <v>1118</v>
      </c>
      <c r="K214" s="486"/>
      <c r="L214" s="486"/>
      <c r="M214" s="486"/>
      <c r="N214" s="486"/>
      <c r="O214" s="493"/>
    </row>
    <row r="215" s="456" customFormat="1" ht="18" customHeight="1" spans="1:15">
      <c r="A215" s="496"/>
      <c r="B215" s="497"/>
      <c r="C215" s="498"/>
      <c r="D215" s="498"/>
      <c r="E215" s="498"/>
      <c r="F215" s="499"/>
      <c r="G215" s="500" t="s">
        <v>758</v>
      </c>
      <c r="H215" s="500" t="s">
        <v>1099</v>
      </c>
      <c r="I215" s="500" t="s">
        <v>913</v>
      </c>
      <c r="J215" s="129" t="s">
        <v>1158</v>
      </c>
      <c r="K215" s="486"/>
      <c r="L215" s="486"/>
      <c r="M215" s="486"/>
      <c r="N215" s="486"/>
      <c r="O215" s="493"/>
    </row>
    <row r="216" s="456" customFormat="1" ht="18" customHeight="1" spans="1:15">
      <c r="A216" s="496"/>
      <c r="B216" s="497"/>
      <c r="C216" s="498"/>
      <c r="D216" s="498"/>
      <c r="E216" s="498"/>
      <c r="F216" s="499"/>
      <c r="G216" s="500" t="s">
        <v>758</v>
      </c>
      <c r="H216" s="500" t="s">
        <v>1103</v>
      </c>
      <c r="I216" s="500"/>
      <c r="J216" s="484" t="s">
        <v>1159</v>
      </c>
      <c r="K216" s="139"/>
      <c r="L216" s="139"/>
      <c r="M216" s="139"/>
      <c r="N216" s="139"/>
      <c r="O216" s="493"/>
    </row>
    <row r="217" s="456" customFormat="1" ht="18" customHeight="1" spans="1:15">
      <c r="A217" s="496"/>
      <c r="B217" s="497"/>
      <c r="C217" s="498"/>
      <c r="D217" s="498"/>
      <c r="E217" s="498"/>
      <c r="F217" s="499"/>
      <c r="G217" s="500" t="s">
        <v>758</v>
      </c>
      <c r="H217" s="500" t="s">
        <v>900</v>
      </c>
      <c r="I217" s="500"/>
      <c r="J217" s="484" t="s">
        <v>901</v>
      </c>
      <c r="K217" s="139">
        <f t="shared" ref="K217:N217" si="57">SUM(K218:K222)</f>
        <v>0</v>
      </c>
      <c r="L217" s="139">
        <f t="shared" si="57"/>
        <v>0</v>
      </c>
      <c r="M217" s="139">
        <f t="shared" si="57"/>
        <v>0</v>
      </c>
      <c r="N217" s="139">
        <f t="shared" si="57"/>
        <v>0</v>
      </c>
      <c r="O217" s="493"/>
    </row>
    <row r="218" s="456" customFormat="1" ht="22" customHeight="1" spans="1:15">
      <c r="A218" s="496"/>
      <c r="B218" s="497"/>
      <c r="C218" s="498"/>
      <c r="D218" s="498"/>
      <c r="E218" s="498"/>
      <c r="F218" s="499"/>
      <c r="G218" s="500" t="s">
        <v>758</v>
      </c>
      <c r="H218" s="500" t="s">
        <v>900</v>
      </c>
      <c r="I218" s="500" t="s">
        <v>903</v>
      </c>
      <c r="J218" s="129" t="s">
        <v>1160</v>
      </c>
      <c r="K218" s="486"/>
      <c r="L218" s="486"/>
      <c r="M218" s="486"/>
      <c r="N218" s="486"/>
      <c r="O218" s="493"/>
    </row>
    <row r="219" s="456" customFormat="1" ht="21" customHeight="1" spans="1:15">
      <c r="A219" s="496"/>
      <c r="B219" s="497"/>
      <c r="C219" s="498"/>
      <c r="D219" s="498"/>
      <c r="E219" s="498"/>
      <c r="F219" s="499"/>
      <c r="G219" s="500" t="s">
        <v>758</v>
      </c>
      <c r="H219" s="500" t="s">
        <v>900</v>
      </c>
      <c r="I219" s="500" t="s">
        <v>906</v>
      </c>
      <c r="J219" s="129" t="s">
        <v>1161</v>
      </c>
      <c r="K219" s="486"/>
      <c r="L219" s="486"/>
      <c r="M219" s="486"/>
      <c r="N219" s="486"/>
      <c r="O219" s="493"/>
    </row>
    <row r="220" s="456" customFormat="1" ht="22" customHeight="1" spans="1:15">
      <c r="A220" s="496"/>
      <c r="B220" s="497"/>
      <c r="C220" s="498"/>
      <c r="D220" s="498"/>
      <c r="E220" s="498"/>
      <c r="F220" s="499"/>
      <c r="G220" s="500" t="s">
        <v>758</v>
      </c>
      <c r="H220" s="500" t="s">
        <v>900</v>
      </c>
      <c r="I220" s="500" t="s">
        <v>909</v>
      </c>
      <c r="J220" s="129" t="s">
        <v>1162</v>
      </c>
      <c r="K220" s="486"/>
      <c r="L220" s="486"/>
      <c r="M220" s="486"/>
      <c r="N220" s="486"/>
      <c r="O220" s="493"/>
    </row>
    <row r="221" s="456" customFormat="1" ht="22.5" customHeight="1" spans="1:15">
      <c r="A221" s="496"/>
      <c r="B221" s="497"/>
      <c r="C221" s="498"/>
      <c r="D221" s="498"/>
      <c r="E221" s="498"/>
      <c r="F221" s="499"/>
      <c r="G221" s="500" t="s">
        <v>758</v>
      </c>
      <c r="H221" s="500" t="s">
        <v>900</v>
      </c>
      <c r="I221" s="500" t="s">
        <v>911</v>
      </c>
      <c r="J221" s="129" t="s">
        <v>1163</v>
      </c>
      <c r="K221" s="486"/>
      <c r="L221" s="486"/>
      <c r="M221" s="486"/>
      <c r="N221" s="486"/>
      <c r="O221" s="493"/>
    </row>
    <row r="222" s="456" customFormat="1" ht="22.5" customHeight="1" spans="1:15">
      <c r="A222" s="496"/>
      <c r="B222" s="497"/>
      <c r="C222" s="498"/>
      <c r="D222" s="498"/>
      <c r="E222" s="498"/>
      <c r="F222" s="499"/>
      <c r="G222" s="500" t="s">
        <v>758</v>
      </c>
      <c r="H222" s="500" t="s">
        <v>900</v>
      </c>
      <c r="I222" s="500" t="s">
        <v>913</v>
      </c>
      <c r="J222" s="129" t="s">
        <v>1164</v>
      </c>
      <c r="K222" s="486"/>
      <c r="L222" s="486"/>
      <c r="M222" s="486"/>
      <c r="N222" s="486"/>
      <c r="O222" s="493"/>
    </row>
    <row r="223" s="456" customFormat="1" ht="22.5" customHeight="1" spans="1:15">
      <c r="A223" s="496"/>
      <c r="B223" s="497"/>
      <c r="C223" s="498"/>
      <c r="D223" s="498"/>
      <c r="E223" s="498"/>
      <c r="F223" s="499"/>
      <c r="G223" s="500" t="s">
        <v>770</v>
      </c>
      <c r="H223" s="500"/>
      <c r="I223" s="500"/>
      <c r="J223" s="484" t="s">
        <v>1165</v>
      </c>
      <c r="K223" s="485">
        <f t="shared" ref="K223:N223" si="58">K224+K228</f>
        <v>137</v>
      </c>
      <c r="L223" s="485">
        <f t="shared" si="58"/>
        <v>420</v>
      </c>
      <c r="M223" s="485">
        <f t="shared" si="58"/>
        <v>405</v>
      </c>
      <c r="N223" s="485">
        <f t="shared" si="58"/>
        <v>308</v>
      </c>
      <c r="O223" s="493"/>
    </row>
    <row r="224" s="456" customFormat="1" ht="22.5" customHeight="1" spans="1:15">
      <c r="A224" s="496"/>
      <c r="B224" s="497"/>
      <c r="C224" s="498"/>
      <c r="D224" s="498"/>
      <c r="E224" s="498"/>
      <c r="F224" s="499"/>
      <c r="G224" s="500" t="s">
        <v>770</v>
      </c>
      <c r="H224" s="500" t="s">
        <v>1122</v>
      </c>
      <c r="I224" s="500"/>
      <c r="J224" s="484" t="s">
        <v>1166</v>
      </c>
      <c r="K224" s="139">
        <f t="shared" ref="K224:N224" si="59">SUM(K225:K227)</f>
        <v>0</v>
      </c>
      <c r="L224" s="139">
        <f t="shared" si="59"/>
        <v>0</v>
      </c>
      <c r="M224" s="139">
        <f t="shared" si="59"/>
        <v>0</v>
      </c>
      <c r="N224" s="139">
        <f t="shared" si="59"/>
        <v>0</v>
      </c>
      <c r="O224" s="493"/>
    </row>
    <row r="225" s="456" customFormat="1" ht="22.5" customHeight="1" spans="1:15">
      <c r="A225" s="496"/>
      <c r="B225" s="497"/>
      <c r="C225" s="498"/>
      <c r="D225" s="498"/>
      <c r="E225" s="498"/>
      <c r="F225" s="499"/>
      <c r="G225" s="500" t="s">
        <v>770</v>
      </c>
      <c r="H225" s="500" t="s">
        <v>1122</v>
      </c>
      <c r="I225" s="500" t="s">
        <v>903</v>
      </c>
      <c r="J225" s="129" t="s">
        <v>1167</v>
      </c>
      <c r="K225" s="486"/>
      <c r="L225" s="486"/>
      <c r="M225" s="486"/>
      <c r="N225" s="486"/>
      <c r="O225" s="493"/>
    </row>
    <row r="226" s="456" customFormat="1" ht="22.5" customHeight="1" spans="1:15">
      <c r="A226" s="496"/>
      <c r="B226" s="497"/>
      <c r="C226" s="498"/>
      <c r="D226" s="498"/>
      <c r="E226" s="498"/>
      <c r="F226" s="499"/>
      <c r="G226" s="500" t="s">
        <v>770</v>
      </c>
      <c r="H226" s="500" t="s">
        <v>1122</v>
      </c>
      <c r="I226" s="500" t="s">
        <v>906</v>
      </c>
      <c r="J226" s="129" t="s">
        <v>1168</v>
      </c>
      <c r="K226" s="486"/>
      <c r="L226" s="486"/>
      <c r="M226" s="486"/>
      <c r="N226" s="486"/>
      <c r="O226" s="493"/>
    </row>
    <row r="227" s="456" customFormat="1" ht="22.5" customHeight="1" spans="1:15">
      <c r="A227" s="496"/>
      <c r="B227" s="497"/>
      <c r="C227" s="498"/>
      <c r="D227" s="498"/>
      <c r="E227" s="498"/>
      <c r="F227" s="499"/>
      <c r="G227" s="500" t="s">
        <v>770</v>
      </c>
      <c r="H227" s="500" t="s">
        <v>1122</v>
      </c>
      <c r="I227" s="500" t="s">
        <v>913</v>
      </c>
      <c r="J227" s="129" t="s">
        <v>1169</v>
      </c>
      <c r="K227" s="486"/>
      <c r="L227" s="486"/>
      <c r="M227" s="486"/>
      <c r="N227" s="486"/>
      <c r="O227" s="493"/>
    </row>
    <row r="228" s="456" customFormat="1" ht="22.5" customHeight="1" spans="1:15">
      <c r="A228" s="496"/>
      <c r="B228" s="497"/>
      <c r="C228" s="498"/>
      <c r="D228" s="498"/>
      <c r="E228" s="498"/>
      <c r="F228" s="499"/>
      <c r="G228" s="500" t="s">
        <v>770</v>
      </c>
      <c r="H228" s="500" t="s">
        <v>900</v>
      </c>
      <c r="I228" s="500"/>
      <c r="J228" s="484" t="s">
        <v>901</v>
      </c>
      <c r="K228" s="139">
        <f t="shared" ref="K228:N228" si="60">SUM(K229:K232)</f>
        <v>137</v>
      </c>
      <c r="L228" s="139">
        <f t="shared" si="60"/>
        <v>420</v>
      </c>
      <c r="M228" s="139">
        <f t="shared" si="60"/>
        <v>405</v>
      </c>
      <c r="N228" s="139">
        <f t="shared" si="60"/>
        <v>308</v>
      </c>
      <c r="O228" s="493"/>
    </row>
    <row r="229" s="456" customFormat="1" ht="22.5" customHeight="1" spans="1:15">
      <c r="A229" s="496"/>
      <c r="B229" s="497"/>
      <c r="C229" s="498"/>
      <c r="D229" s="498"/>
      <c r="E229" s="498"/>
      <c r="F229" s="499"/>
      <c r="G229" s="500" t="s">
        <v>770</v>
      </c>
      <c r="H229" s="500" t="s">
        <v>900</v>
      </c>
      <c r="I229" s="500" t="s">
        <v>903</v>
      </c>
      <c r="J229" s="129" t="s">
        <v>1170</v>
      </c>
      <c r="K229" s="486"/>
      <c r="L229" s="486"/>
      <c r="M229" s="486"/>
      <c r="N229" s="486"/>
      <c r="O229" s="493"/>
    </row>
    <row r="230" s="456" customFormat="1" ht="22.5" customHeight="1" spans="1:15">
      <c r="A230" s="496"/>
      <c r="B230" s="497"/>
      <c r="C230" s="498"/>
      <c r="D230" s="498"/>
      <c r="E230" s="498"/>
      <c r="F230" s="499"/>
      <c r="G230" s="500" t="s">
        <v>770</v>
      </c>
      <c r="H230" s="500" t="s">
        <v>900</v>
      </c>
      <c r="I230" s="500" t="s">
        <v>906</v>
      </c>
      <c r="J230" s="129" t="s">
        <v>1171</v>
      </c>
      <c r="K230" s="486">
        <v>137</v>
      </c>
      <c r="L230" s="486">
        <v>420</v>
      </c>
      <c r="M230" s="486">
        <v>405</v>
      </c>
      <c r="N230" s="486">
        <v>308</v>
      </c>
      <c r="O230" s="493"/>
    </row>
    <row r="231" spans="1:15">
      <c r="A231" s="496"/>
      <c r="B231" s="497"/>
      <c r="C231" s="498"/>
      <c r="D231" s="498"/>
      <c r="E231" s="498"/>
      <c r="F231" s="499"/>
      <c r="G231" s="500" t="s">
        <v>770</v>
      </c>
      <c r="H231" s="500" t="s">
        <v>900</v>
      </c>
      <c r="I231" s="500" t="s">
        <v>909</v>
      </c>
      <c r="J231" s="129" t="s">
        <v>1172</v>
      </c>
      <c r="K231" s="486"/>
      <c r="L231" s="486"/>
      <c r="M231" s="486"/>
      <c r="N231" s="486"/>
      <c r="O231" s="493"/>
    </row>
    <row r="232" spans="1:15">
      <c r="A232" s="496"/>
      <c r="B232" s="497"/>
      <c r="C232" s="498"/>
      <c r="D232" s="498"/>
      <c r="E232" s="498"/>
      <c r="F232" s="499"/>
      <c r="G232" s="500" t="s">
        <v>770</v>
      </c>
      <c r="H232" s="500" t="s">
        <v>900</v>
      </c>
      <c r="I232" s="500" t="s">
        <v>913</v>
      </c>
      <c r="J232" s="129" t="s">
        <v>1173</v>
      </c>
      <c r="K232" s="486"/>
      <c r="L232" s="486"/>
      <c r="M232" s="486"/>
      <c r="N232" s="486"/>
      <c r="O232" s="493"/>
    </row>
    <row r="233" spans="1:15">
      <c r="A233" s="496"/>
      <c r="B233" s="497"/>
      <c r="C233" s="498"/>
      <c r="D233" s="498"/>
      <c r="E233" s="498"/>
      <c r="F233" s="499"/>
      <c r="G233" s="500" t="s">
        <v>794</v>
      </c>
      <c r="H233" s="500"/>
      <c r="I233" s="500"/>
      <c r="J233" s="484" t="s">
        <v>1174</v>
      </c>
      <c r="K233" s="485">
        <f t="shared" ref="K233:N233" si="61">K234</f>
        <v>0</v>
      </c>
      <c r="L233" s="485">
        <f t="shared" si="61"/>
        <v>0</v>
      </c>
      <c r="M233" s="485">
        <f t="shared" si="61"/>
        <v>0</v>
      </c>
      <c r="N233" s="485">
        <f t="shared" si="61"/>
        <v>0</v>
      </c>
      <c r="O233" s="493"/>
    </row>
    <row r="234" spans="1:15">
      <c r="A234" s="496"/>
      <c r="B234" s="497"/>
      <c r="C234" s="498"/>
      <c r="D234" s="498"/>
      <c r="E234" s="498"/>
      <c r="F234" s="499"/>
      <c r="G234" s="500" t="s">
        <v>794</v>
      </c>
      <c r="H234" s="500" t="s">
        <v>911</v>
      </c>
      <c r="I234" s="500"/>
      <c r="J234" s="484" t="s">
        <v>1175</v>
      </c>
      <c r="K234" s="139">
        <f t="shared" ref="K234:N234" si="62">SUM(K235:K236)</f>
        <v>0</v>
      </c>
      <c r="L234" s="139">
        <f t="shared" si="62"/>
        <v>0</v>
      </c>
      <c r="M234" s="139">
        <f t="shared" si="62"/>
        <v>0</v>
      </c>
      <c r="N234" s="139">
        <f t="shared" si="62"/>
        <v>0</v>
      </c>
      <c r="O234" s="493"/>
    </row>
    <row r="235" spans="1:15">
      <c r="A235" s="496"/>
      <c r="B235" s="497"/>
      <c r="C235" s="498"/>
      <c r="D235" s="498"/>
      <c r="E235" s="498"/>
      <c r="F235" s="499"/>
      <c r="G235" s="500" t="s">
        <v>794</v>
      </c>
      <c r="H235" s="500" t="s">
        <v>911</v>
      </c>
      <c r="I235" s="500" t="s">
        <v>906</v>
      </c>
      <c r="J235" s="129" t="s">
        <v>1176</v>
      </c>
      <c r="K235" s="486"/>
      <c r="L235" s="486"/>
      <c r="M235" s="486"/>
      <c r="N235" s="486"/>
      <c r="O235" s="493"/>
    </row>
    <row r="236" spans="1:15">
      <c r="A236" s="496"/>
      <c r="B236" s="497"/>
      <c r="C236" s="498"/>
      <c r="D236" s="498"/>
      <c r="E236" s="498"/>
      <c r="F236" s="499"/>
      <c r="G236" s="500" t="s">
        <v>794</v>
      </c>
      <c r="H236" s="500" t="s">
        <v>911</v>
      </c>
      <c r="I236" s="500" t="s">
        <v>909</v>
      </c>
      <c r="J236" s="129" t="s">
        <v>1177</v>
      </c>
      <c r="K236" s="486"/>
      <c r="L236" s="486"/>
      <c r="M236" s="486"/>
      <c r="N236" s="486"/>
      <c r="O236" s="493"/>
    </row>
    <row r="237" spans="1:15">
      <c r="A237" s="496"/>
      <c r="B237" s="497"/>
      <c r="C237" s="498"/>
      <c r="D237" s="498"/>
      <c r="E237" s="498"/>
      <c r="F237" s="499"/>
      <c r="G237" s="500" t="s">
        <v>820</v>
      </c>
      <c r="H237" s="500"/>
      <c r="I237" s="500"/>
      <c r="J237" s="484" t="s">
        <v>1178</v>
      </c>
      <c r="K237" s="485">
        <f t="shared" ref="K237:N237" si="63">K238</f>
        <v>0</v>
      </c>
      <c r="L237" s="485">
        <f t="shared" si="63"/>
        <v>50</v>
      </c>
      <c r="M237" s="485">
        <f t="shared" si="63"/>
        <v>50</v>
      </c>
      <c r="N237" s="485">
        <f t="shared" si="63"/>
        <v>0</v>
      </c>
      <c r="O237" s="493"/>
    </row>
    <row r="238" spans="1:15">
      <c r="A238" s="496"/>
      <c r="B238" s="497"/>
      <c r="C238" s="498"/>
      <c r="D238" s="498"/>
      <c r="E238" s="498"/>
      <c r="F238" s="499"/>
      <c r="G238" s="500" t="s">
        <v>820</v>
      </c>
      <c r="H238" s="500" t="s">
        <v>1033</v>
      </c>
      <c r="I238" s="500"/>
      <c r="J238" s="484" t="s">
        <v>1179</v>
      </c>
      <c r="K238" s="139">
        <f t="shared" ref="K238:N238" si="64">SUM(K239:K240)</f>
        <v>0</v>
      </c>
      <c r="L238" s="139">
        <f t="shared" si="64"/>
        <v>50</v>
      </c>
      <c r="M238" s="139">
        <f t="shared" si="64"/>
        <v>50</v>
      </c>
      <c r="N238" s="139">
        <f t="shared" si="64"/>
        <v>0</v>
      </c>
      <c r="O238" s="493"/>
    </row>
    <row r="239" spans="1:15">
      <c r="A239" s="496"/>
      <c r="B239" s="497"/>
      <c r="C239" s="498"/>
      <c r="D239" s="498"/>
      <c r="E239" s="498"/>
      <c r="F239" s="499"/>
      <c r="G239" s="500" t="s">
        <v>820</v>
      </c>
      <c r="H239" s="500" t="s">
        <v>1033</v>
      </c>
      <c r="I239" s="500" t="s">
        <v>903</v>
      </c>
      <c r="J239" s="129" t="s">
        <v>1180</v>
      </c>
      <c r="K239" s="486"/>
      <c r="L239" s="486">
        <v>50</v>
      </c>
      <c r="M239" s="486">
        <v>50</v>
      </c>
      <c r="N239" s="486"/>
      <c r="O239" s="493"/>
    </row>
    <row r="240" spans="1:15">
      <c r="A240" s="496"/>
      <c r="B240" s="497"/>
      <c r="C240" s="498"/>
      <c r="D240" s="498"/>
      <c r="E240" s="498"/>
      <c r="F240" s="499"/>
      <c r="G240" s="500" t="s">
        <v>820</v>
      </c>
      <c r="H240" s="500" t="s">
        <v>1033</v>
      </c>
      <c r="I240" s="500" t="s">
        <v>906</v>
      </c>
      <c r="J240" s="129" t="s">
        <v>1181</v>
      </c>
      <c r="K240" s="486"/>
      <c r="L240" s="486"/>
      <c r="M240" s="486"/>
      <c r="N240" s="486"/>
      <c r="O240" s="493"/>
    </row>
    <row r="241" spans="1:15">
      <c r="A241" s="496"/>
      <c r="B241" s="497"/>
      <c r="C241" s="498"/>
      <c r="D241" s="498"/>
      <c r="E241" s="498"/>
      <c r="F241" s="499"/>
      <c r="G241" s="500" t="s">
        <v>828</v>
      </c>
      <c r="H241" s="500"/>
      <c r="I241" s="500"/>
      <c r="J241" s="484" t="s">
        <v>1182</v>
      </c>
      <c r="K241" s="485">
        <f t="shared" ref="K241:N241" si="65">K242</f>
        <v>0</v>
      </c>
      <c r="L241" s="485">
        <f t="shared" si="65"/>
        <v>0</v>
      </c>
      <c r="M241" s="485">
        <f t="shared" si="65"/>
        <v>0</v>
      </c>
      <c r="N241" s="485">
        <f t="shared" si="65"/>
        <v>0</v>
      </c>
      <c r="O241" s="493"/>
    </row>
    <row r="242" spans="1:15">
      <c r="A242" s="496"/>
      <c r="B242" s="497"/>
      <c r="C242" s="498"/>
      <c r="D242" s="498"/>
      <c r="E242" s="498"/>
      <c r="F242" s="499"/>
      <c r="G242" s="500" t="s">
        <v>828</v>
      </c>
      <c r="H242" s="500" t="s">
        <v>900</v>
      </c>
      <c r="I242" s="500"/>
      <c r="J242" s="484" t="s">
        <v>901</v>
      </c>
      <c r="K242" s="139">
        <f t="shared" ref="K242:N242" si="66">SUM(K243:K244)</f>
        <v>0</v>
      </c>
      <c r="L242" s="139">
        <f t="shared" si="66"/>
        <v>0</v>
      </c>
      <c r="M242" s="139">
        <f t="shared" si="66"/>
        <v>0</v>
      </c>
      <c r="N242" s="139">
        <f t="shared" si="66"/>
        <v>0</v>
      </c>
      <c r="O242" s="493"/>
    </row>
    <row r="243" spans="1:15">
      <c r="A243" s="496"/>
      <c r="B243" s="497"/>
      <c r="C243" s="498"/>
      <c r="D243" s="498"/>
      <c r="E243" s="498"/>
      <c r="F243" s="499"/>
      <c r="G243" s="500" t="s">
        <v>828</v>
      </c>
      <c r="H243" s="500" t="s">
        <v>900</v>
      </c>
      <c r="I243" s="500" t="s">
        <v>903</v>
      </c>
      <c r="J243" s="129" t="s">
        <v>1183</v>
      </c>
      <c r="K243" s="486"/>
      <c r="L243" s="486"/>
      <c r="M243" s="486"/>
      <c r="N243" s="486"/>
      <c r="O243" s="493"/>
    </row>
    <row r="244" spans="1:15">
      <c r="A244" s="496"/>
      <c r="B244" s="497"/>
      <c r="C244" s="498"/>
      <c r="D244" s="498"/>
      <c r="E244" s="498"/>
      <c r="F244" s="499"/>
      <c r="G244" s="500" t="s">
        <v>828</v>
      </c>
      <c r="H244" s="500" t="s">
        <v>900</v>
      </c>
      <c r="I244" s="500" t="s">
        <v>913</v>
      </c>
      <c r="J244" s="129" t="s">
        <v>1184</v>
      </c>
      <c r="K244" s="486"/>
      <c r="L244" s="486"/>
      <c r="M244" s="486"/>
      <c r="N244" s="486"/>
      <c r="O244" s="493"/>
    </row>
    <row r="245" spans="1:15">
      <c r="A245" s="496"/>
      <c r="B245" s="497"/>
      <c r="C245" s="498"/>
      <c r="D245" s="498"/>
      <c r="E245" s="498"/>
      <c r="F245" s="499"/>
      <c r="G245" s="500" t="s">
        <v>836</v>
      </c>
      <c r="H245" s="500"/>
      <c r="I245" s="500"/>
      <c r="J245" s="484" t="s">
        <v>1185</v>
      </c>
      <c r="K245" s="485">
        <f t="shared" ref="K245:N245" si="67">K246</f>
        <v>0</v>
      </c>
      <c r="L245" s="485">
        <f t="shared" si="67"/>
        <v>0</v>
      </c>
      <c r="M245" s="485">
        <f t="shared" si="67"/>
        <v>0</v>
      </c>
      <c r="N245" s="485">
        <f t="shared" si="67"/>
        <v>0</v>
      </c>
      <c r="O245" s="493"/>
    </row>
    <row r="246" spans="1:15">
      <c r="A246" s="496"/>
      <c r="B246" s="497"/>
      <c r="C246" s="498"/>
      <c r="D246" s="498"/>
      <c r="E246" s="498"/>
      <c r="F246" s="499"/>
      <c r="G246" s="500" t="s">
        <v>836</v>
      </c>
      <c r="H246" s="500" t="s">
        <v>900</v>
      </c>
      <c r="I246" s="500"/>
      <c r="J246" s="484" t="s">
        <v>901</v>
      </c>
      <c r="K246" s="139">
        <f t="shared" ref="K246:N246" si="68">SUM(K247:K248)</f>
        <v>0</v>
      </c>
      <c r="L246" s="139">
        <f t="shared" si="68"/>
        <v>0</v>
      </c>
      <c r="M246" s="139">
        <f t="shared" si="68"/>
        <v>0</v>
      </c>
      <c r="N246" s="139">
        <f t="shared" si="68"/>
        <v>0</v>
      </c>
      <c r="O246" s="493"/>
    </row>
    <row r="247" spans="1:15">
      <c r="A247" s="496"/>
      <c r="B247" s="497"/>
      <c r="C247" s="498"/>
      <c r="D247" s="498"/>
      <c r="E247" s="498"/>
      <c r="F247" s="499"/>
      <c r="G247" s="500" t="s">
        <v>836</v>
      </c>
      <c r="H247" s="500" t="s">
        <v>900</v>
      </c>
      <c r="I247" s="500" t="s">
        <v>903</v>
      </c>
      <c r="J247" s="129" t="s">
        <v>1186</v>
      </c>
      <c r="K247" s="486"/>
      <c r="L247" s="486"/>
      <c r="M247" s="486"/>
      <c r="N247" s="486"/>
      <c r="O247" s="493"/>
    </row>
    <row r="248" spans="1:15">
      <c r="A248" s="496"/>
      <c r="B248" s="497"/>
      <c r="C248" s="498"/>
      <c r="D248" s="498"/>
      <c r="E248" s="498"/>
      <c r="F248" s="499"/>
      <c r="G248" s="500" t="s">
        <v>836</v>
      </c>
      <c r="H248" s="500" t="s">
        <v>900</v>
      </c>
      <c r="I248" s="500" t="s">
        <v>913</v>
      </c>
      <c r="J248" s="129" t="s">
        <v>1187</v>
      </c>
      <c r="K248" s="486"/>
      <c r="L248" s="486"/>
      <c r="M248" s="486"/>
      <c r="N248" s="486"/>
      <c r="O248" s="493"/>
    </row>
    <row r="249" spans="1:15">
      <c r="A249" s="496"/>
      <c r="B249" s="497"/>
      <c r="C249" s="498"/>
      <c r="D249" s="498"/>
      <c r="E249" s="498"/>
      <c r="F249" s="499"/>
      <c r="G249" s="500" t="s">
        <v>846</v>
      </c>
      <c r="H249" s="500"/>
      <c r="I249" s="500"/>
      <c r="J249" s="484" t="s">
        <v>1188</v>
      </c>
      <c r="K249" s="485">
        <f t="shared" ref="K249:N249" si="69">K250</f>
        <v>0</v>
      </c>
      <c r="L249" s="485">
        <f t="shared" si="69"/>
        <v>0</v>
      </c>
      <c r="M249" s="485">
        <f t="shared" si="69"/>
        <v>0</v>
      </c>
      <c r="N249" s="485">
        <f t="shared" si="69"/>
        <v>0</v>
      </c>
      <c r="O249" s="493"/>
    </row>
    <row r="250" spans="1:15">
      <c r="A250" s="496"/>
      <c r="B250" s="497"/>
      <c r="C250" s="498"/>
      <c r="D250" s="498"/>
      <c r="E250" s="498"/>
      <c r="F250" s="499"/>
      <c r="G250" s="500" t="s">
        <v>846</v>
      </c>
      <c r="H250" s="500" t="s">
        <v>900</v>
      </c>
      <c r="I250" s="500"/>
      <c r="J250" s="484" t="s">
        <v>901</v>
      </c>
      <c r="K250" s="139">
        <f t="shared" ref="K250:N250" si="70">SUM(K251:K253)</f>
        <v>0</v>
      </c>
      <c r="L250" s="139">
        <f t="shared" si="70"/>
        <v>0</v>
      </c>
      <c r="M250" s="139">
        <f t="shared" si="70"/>
        <v>0</v>
      </c>
      <c r="N250" s="139">
        <f t="shared" si="70"/>
        <v>0</v>
      </c>
      <c r="O250" s="493"/>
    </row>
    <row r="251" spans="1:15">
      <c r="A251" s="496"/>
      <c r="B251" s="497"/>
      <c r="C251" s="498"/>
      <c r="D251" s="498"/>
      <c r="E251" s="498"/>
      <c r="F251" s="499"/>
      <c r="G251" s="500" t="s">
        <v>846</v>
      </c>
      <c r="H251" s="500" t="s">
        <v>900</v>
      </c>
      <c r="I251" s="500" t="s">
        <v>903</v>
      </c>
      <c r="J251" s="129" t="s">
        <v>1189</v>
      </c>
      <c r="K251" s="486"/>
      <c r="L251" s="486"/>
      <c r="M251" s="486"/>
      <c r="N251" s="486"/>
      <c r="O251" s="493"/>
    </row>
    <row r="252" spans="1:15">
      <c r="A252" s="496"/>
      <c r="B252" s="497"/>
      <c r="C252" s="498"/>
      <c r="D252" s="498"/>
      <c r="E252" s="498"/>
      <c r="F252" s="499"/>
      <c r="G252" s="500" t="s">
        <v>846</v>
      </c>
      <c r="H252" s="500" t="s">
        <v>900</v>
      </c>
      <c r="I252" s="500" t="s">
        <v>906</v>
      </c>
      <c r="J252" s="129" t="s">
        <v>1190</v>
      </c>
      <c r="K252" s="486"/>
      <c r="L252" s="486"/>
      <c r="M252" s="486"/>
      <c r="N252" s="486"/>
      <c r="O252" s="493"/>
    </row>
    <row r="253" spans="1:15">
      <c r="A253" s="496"/>
      <c r="B253" s="497"/>
      <c r="C253" s="498"/>
      <c r="D253" s="498"/>
      <c r="E253" s="498"/>
      <c r="F253" s="499"/>
      <c r="G253" s="500" t="s">
        <v>846</v>
      </c>
      <c r="H253" s="500" t="s">
        <v>900</v>
      </c>
      <c r="I253" s="500" t="s">
        <v>913</v>
      </c>
      <c r="J253" s="129" t="s">
        <v>1191</v>
      </c>
      <c r="K253" s="486"/>
      <c r="L253" s="486"/>
      <c r="M253" s="486"/>
      <c r="N253" s="486"/>
      <c r="O253" s="493"/>
    </row>
    <row r="254" spans="1:15">
      <c r="A254" s="496"/>
      <c r="B254" s="497"/>
      <c r="C254" s="498"/>
      <c r="D254" s="498"/>
      <c r="E254" s="498"/>
      <c r="F254" s="499"/>
      <c r="G254" s="500" t="s">
        <v>857</v>
      </c>
      <c r="H254" s="500"/>
      <c r="I254" s="500"/>
      <c r="J254" s="484" t="s">
        <v>1192</v>
      </c>
      <c r="K254" s="485">
        <f t="shared" ref="K254:N254" si="71">K255+K259+K268+K270+K272+K284</f>
        <v>1615</v>
      </c>
      <c r="L254" s="485">
        <f t="shared" si="71"/>
        <v>1891</v>
      </c>
      <c r="M254" s="485">
        <f t="shared" si="71"/>
        <v>4046</v>
      </c>
      <c r="N254" s="485">
        <f t="shared" si="71"/>
        <v>320</v>
      </c>
      <c r="O254" s="493"/>
    </row>
    <row r="255" spans="1:15">
      <c r="A255" s="496"/>
      <c r="B255" s="497"/>
      <c r="C255" s="498"/>
      <c r="D255" s="498"/>
      <c r="E255" s="498"/>
      <c r="F255" s="499"/>
      <c r="G255" s="500" t="s">
        <v>857</v>
      </c>
      <c r="H255" s="500" t="s">
        <v>911</v>
      </c>
      <c r="I255" s="500"/>
      <c r="J255" s="484" t="s">
        <v>1193</v>
      </c>
      <c r="K255" s="139">
        <f t="shared" ref="K255:N255" si="72">SUM(K256:K258)</f>
        <v>1100</v>
      </c>
      <c r="L255" s="139">
        <f t="shared" si="72"/>
        <v>565</v>
      </c>
      <c r="M255" s="139">
        <f t="shared" si="72"/>
        <v>2584</v>
      </c>
      <c r="N255" s="139">
        <f t="shared" si="72"/>
        <v>0</v>
      </c>
      <c r="O255" s="493"/>
    </row>
    <row r="256" spans="1:15">
      <c r="A256" s="496"/>
      <c r="B256" s="497"/>
      <c r="C256" s="498"/>
      <c r="D256" s="498"/>
      <c r="E256" s="498"/>
      <c r="F256" s="499"/>
      <c r="G256" s="500" t="s">
        <v>857</v>
      </c>
      <c r="H256" s="500" t="s">
        <v>911</v>
      </c>
      <c r="I256" s="500" t="s">
        <v>903</v>
      </c>
      <c r="J256" s="129" t="s">
        <v>1194</v>
      </c>
      <c r="K256" s="486"/>
      <c r="L256" s="486"/>
      <c r="M256" s="470">
        <v>20</v>
      </c>
      <c r="N256" s="486"/>
      <c r="O256" s="493"/>
    </row>
    <row r="257" spans="1:15">
      <c r="A257" s="496"/>
      <c r="B257" s="497"/>
      <c r="C257" s="498"/>
      <c r="D257" s="498"/>
      <c r="E257" s="498"/>
      <c r="F257" s="499"/>
      <c r="G257" s="500" t="s">
        <v>857</v>
      </c>
      <c r="H257" s="500" t="s">
        <v>911</v>
      </c>
      <c r="I257" s="500" t="s">
        <v>906</v>
      </c>
      <c r="J257" s="129" t="s">
        <v>1195</v>
      </c>
      <c r="K257" s="486">
        <v>1100</v>
      </c>
      <c r="L257" s="486">
        <v>565</v>
      </c>
      <c r="M257" s="470">
        <v>2564</v>
      </c>
      <c r="N257" s="486"/>
      <c r="O257" s="493"/>
    </row>
    <row r="258" spans="1:15">
      <c r="A258" s="496"/>
      <c r="B258" s="497"/>
      <c r="C258" s="498"/>
      <c r="D258" s="498"/>
      <c r="E258" s="498"/>
      <c r="F258" s="499"/>
      <c r="G258" s="500" t="s">
        <v>857</v>
      </c>
      <c r="H258" s="500" t="s">
        <v>911</v>
      </c>
      <c r="I258" s="500" t="s">
        <v>909</v>
      </c>
      <c r="J258" s="129" t="s">
        <v>1196</v>
      </c>
      <c r="K258" s="486"/>
      <c r="L258" s="486"/>
      <c r="M258" s="470"/>
      <c r="N258" s="486"/>
      <c r="O258" s="493"/>
    </row>
    <row r="259" spans="1:15">
      <c r="A259" s="496"/>
      <c r="B259" s="497"/>
      <c r="C259" s="498"/>
      <c r="D259" s="498"/>
      <c r="E259" s="498"/>
      <c r="F259" s="499"/>
      <c r="G259" s="500" t="s">
        <v>857</v>
      </c>
      <c r="H259" s="500" t="s">
        <v>1025</v>
      </c>
      <c r="I259" s="500"/>
      <c r="J259" s="484" t="s">
        <v>1197</v>
      </c>
      <c r="K259" s="139">
        <f t="shared" ref="K259:N259" si="73">SUM(K260:K267)</f>
        <v>0</v>
      </c>
      <c r="L259" s="139">
        <f t="shared" si="73"/>
        <v>0</v>
      </c>
      <c r="M259" s="139">
        <f t="shared" si="73"/>
        <v>0</v>
      </c>
      <c r="N259" s="139">
        <f t="shared" si="73"/>
        <v>0</v>
      </c>
      <c r="O259" s="493"/>
    </row>
    <row r="260" spans="1:15">
      <c r="A260" s="496"/>
      <c r="B260" s="497"/>
      <c r="C260" s="498"/>
      <c r="D260" s="498"/>
      <c r="E260" s="498"/>
      <c r="F260" s="499"/>
      <c r="G260" s="500" t="s">
        <v>857</v>
      </c>
      <c r="H260" s="500" t="s">
        <v>1025</v>
      </c>
      <c r="I260" s="500" t="s">
        <v>906</v>
      </c>
      <c r="J260" s="129" t="s">
        <v>1198</v>
      </c>
      <c r="K260" s="486"/>
      <c r="L260" s="486"/>
      <c r="M260" s="486"/>
      <c r="N260" s="486"/>
      <c r="O260" s="493"/>
    </row>
    <row r="261" spans="1:15">
      <c r="A261" s="496"/>
      <c r="B261" s="497"/>
      <c r="C261" s="498"/>
      <c r="D261" s="498"/>
      <c r="E261" s="498"/>
      <c r="F261" s="499"/>
      <c r="G261" s="500" t="s">
        <v>857</v>
      </c>
      <c r="H261" s="500" t="s">
        <v>1025</v>
      </c>
      <c r="I261" s="500" t="s">
        <v>909</v>
      </c>
      <c r="J261" s="129" t="s">
        <v>1199</v>
      </c>
      <c r="K261" s="486"/>
      <c r="L261" s="486"/>
      <c r="M261" s="486"/>
      <c r="N261" s="486"/>
      <c r="O261" s="493"/>
    </row>
    <row r="262" spans="1:15">
      <c r="A262" s="496"/>
      <c r="B262" s="497"/>
      <c r="C262" s="498"/>
      <c r="D262" s="498"/>
      <c r="E262" s="498"/>
      <c r="F262" s="499"/>
      <c r="G262" s="500" t="s">
        <v>857</v>
      </c>
      <c r="H262" s="500" t="s">
        <v>1025</v>
      </c>
      <c r="I262" s="500" t="s">
        <v>911</v>
      </c>
      <c r="J262" s="129" t="s">
        <v>1200</v>
      </c>
      <c r="K262" s="486"/>
      <c r="L262" s="486"/>
      <c r="M262" s="486"/>
      <c r="N262" s="486"/>
      <c r="O262" s="493"/>
    </row>
    <row r="263" spans="1:15">
      <c r="A263" s="496"/>
      <c r="B263" s="497"/>
      <c r="C263" s="498"/>
      <c r="D263" s="498"/>
      <c r="E263" s="498"/>
      <c r="F263" s="499"/>
      <c r="G263" s="500" t="s">
        <v>857</v>
      </c>
      <c r="H263" s="500" t="s">
        <v>1025</v>
      </c>
      <c r="I263" s="500" t="s">
        <v>928</v>
      </c>
      <c r="J263" s="129" t="s">
        <v>1201</v>
      </c>
      <c r="K263" s="486"/>
      <c r="L263" s="486"/>
      <c r="M263" s="486"/>
      <c r="N263" s="486"/>
      <c r="O263" s="493"/>
    </row>
    <row r="264" spans="1:15">
      <c r="A264" s="496"/>
      <c r="B264" s="497"/>
      <c r="C264" s="498"/>
      <c r="D264" s="498"/>
      <c r="E264" s="498"/>
      <c r="F264" s="499"/>
      <c r="G264" s="500" t="s">
        <v>857</v>
      </c>
      <c r="H264" s="500" t="s">
        <v>1025</v>
      </c>
      <c r="I264" s="500" t="s">
        <v>1033</v>
      </c>
      <c r="J264" s="129" t="s">
        <v>1202</v>
      </c>
      <c r="K264" s="486"/>
      <c r="L264" s="486"/>
      <c r="M264" s="486"/>
      <c r="N264" s="486"/>
      <c r="O264" s="493"/>
    </row>
    <row r="265" spans="1:15">
      <c r="A265" s="496"/>
      <c r="B265" s="497"/>
      <c r="C265" s="498"/>
      <c r="D265" s="498"/>
      <c r="E265" s="498"/>
      <c r="F265" s="499"/>
      <c r="G265" s="500" t="s">
        <v>857</v>
      </c>
      <c r="H265" s="500" t="s">
        <v>1025</v>
      </c>
      <c r="I265" s="500" t="s">
        <v>943</v>
      </c>
      <c r="J265" s="129" t="s">
        <v>1203</v>
      </c>
      <c r="K265" s="486"/>
      <c r="L265" s="486"/>
      <c r="M265" s="486"/>
      <c r="N265" s="486"/>
      <c r="O265" s="493"/>
    </row>
    <row r="266" spans="1:15">
      <c r="A266" s="496"/>
      <c r="B266" s="497"/>
      <c r="C266" s="498"/>
      <c r="D266" s="498"/>
      <c r="E266" s="498"/>
      <c r="F266" s="499"/>
      <c r="G266" s="500" t="s">
        <v>857</v>
      </c>
      <c r="H266" s="500" t="s">
        <v>1025</v>
      </c>
      <c r="I266" s="500" t="s">
        <v>1025</v>
      </c>
      <c r="J266" s="129" t="s">
        <v>1204</v>
      </c>
      <c r="K266" s="486"/>
      <c r="L266" s="486"/>
      <c r="M266" s="486"/>
      <c r="N266" s="486"/>
      <c r="O266" s="493"/>
    </row>
    <row r="267" spans="1:15">
      <c r="A267" s="496"/>
      <c r="B267" s="497"/>
      <c r="C267" s="498"/>
      <c r="D267" s="498"/>
      <c r="E267" s="498"/>
      <c r="F267" s="499"/>
      <c r="G267" s="500" t="s">
        <v>857</v>
      </c>
      <c r="H267" s="500" t="s">
        <v>1025</v>
      </c>
      <c r="I267" s="500" t="s">
        <v>913</v>
      </c>
      <c r="J267" s="129" t="s">
        <v>1205</v>
      </c>
      <c r="K267" s="486"/>
      <c r="L267" s="486"/>
      <c r="M267" s="486"/>
      <c r="N267" s="486"/>
      <c r="O267" s="493"/>
    </row>
    <row r="268" spans="1:15">
      <c r="A268" s="496"/>
      <c r="B268" s="497"/>
      <c r="C268" s="498"/>
      <c r="D268" s="498"/>
      <c r="E268" s="498"/>
      <c r="F268" s="499"/>
      <c r="G268" s="500" t="s">
        <v>857</v>
      </c>
      <c r="H268" s="500" t="s">
        <v>956</v>
      </c>
      <c r="I268" s="500"/>
      <c r="J268" s="484" t="s">
        <v>1206</v>
      </c>
      <c r="K268" s="139">
        <f t="shared" ref="K268:N268" si="74">K269</f>
        <v>0</v>
      </c>
      <c r="L268" s="139">
        <f t="shared" si="74"/>
        <v>0</v>
      </c>
      <c r="M268" s="139">
        <f t="shared" si="74"/>
        <v>0</v>
      </c>
      <c r="N268" s="139">
        <f t="shared" si="74"/>
        <v>0</v>
      </c>
      <c r="O268" s="493"/>
    </row>
    <row r="269" spans="1:15">
      <c r="A269" s="496"/>
      <c r="B269" s="497"/>
      <c r="C269" s="498"/>
      <c r="D269" s="498"/>
      <c r="E269" s="498"/>
      <c r="F269" s="499"/>
      <c r="G269" s="500" t="s">
        <v>857</v>
      </c>
      <c r="H269" s="500" t="s">
        <v>956</v>
      </c>
      <c r="I269" s="500" t="s">
        <v>903</v>
      </c>
      <c r="J269" s="129" t="s">
        <v>1207</v>
      </c>
      <c r="K269" s="486"/>
      <c r="L269" s="486"/>
      <c r="M269" s="486"/>
      <c r="N269" s="486"/>
      <c r="O269" s="493"/>
    </row>
    <row r="270" spans="1:15">
      <c r="A270" s="496"/>
      <c r="B270" s="497"/>
      <c r="C270" s="498"/>
      <c r="D270" s="498"/>
      <c r="E270" s="498"/>
      <c r="F270" s="499"/>
      <c r="G270" s="500" t="s">
        <v>857</v>
      </c>
      <c r="H270" s="500" t="s">
        <v>917</v>
      </c>
      <c r="I270" s="500"/>
      <c r="J270" s="484" t="s">
        <v>1208</v>
      </c>
      <c r="K270" s="139">
        <f t="shared" ref="K270:N270" si="75">SUM(K271)</f>
        <v>0</v>
      </c>
      <c r="L270" s="139">
        <f t="shared" si="75"/>
        <v>0</v>
      </c>
      <c r="M270" s="139">
        <f t="shared" si="75"/>
        <v>0</v>
      </c>
      <c r="N270" s="139">
        <f t="shared" si="75"/>
        <v>0</v>
      </c>
      <c r="O270" s="493"/>
    </row>
    <row r="271" spans="1:15">
      <c r="A271" s="496"/>
      <c r="B271" s="497"/>
      <c r="C271" s="498"/>
      <c r="D271" s="498"/>
      <c r="E271" s="498"/>
      <c r="F271" s="499"/>
      <c r="G271" s="500" t="s">
        <v>857</v>
      </c>
      <c r="H271" s="500" t="s">
        <v>917</v>
      </c>
      <c r="I271" s="500" t="s">
        <v>903</v>
      </c>
      <c r="J271" s="129" t="s">
        <v>1209</v>
      </c>
      <c r="K271" s="486"/>
      <c r="L271" s="486"/>
      <c r="M271" s="486"/>
      <c r="N271" s="486"/>
      <c r="O271" s="493"/>
    </row>
    <row r="272" spans="1:15">
      <c r="A272" s="496"/>
      <c r="B272" s="497"/>
      <c r="C272" s="498"/>
      <c r="D272" s="498"/>
      <c r="E272" s="498"/>
      <c r="F272" s="499"/>
      <c r="G272" s="500" t="s">
        <v>857</v>
      </c>
      <c r="H272" s="500" t="s">
        <v>1004</v>
      </c>
      <c r="I272" s="500"/>
      <c r="J272" s="484" t="s">
        <v>1210</v>
      </c>
      <c r="K272" s="139">
        <f t="shared" ref="K272:N272" si="76">SUM(K273:K283)</f>
        <v>515</v>
      </c>
      <c r="L272" s="139">
        <f t="shared" si="76"/>
        <v>1326</v>
      </c>
      <c r="M272" s="139">
        <f t="shared" si="76"/>
        <v>1462</v>
      </c>
      <c r="N272" s="139">
        <f t="shared" si="76"/>
        <v>320</v>
      </c>
      <c r="O272" s="493"/>
    </row>
    <row r="273" spans="1:15">
      <c r="A273" s="496"/>
      <c r="B273" s="497"/>
      <c r="C273" s="498"/>
      <c r="D273" s="498"/>
      <c r="E273" s="498"/>
      <c r="F273" s="499"/>
      <c r="G273" s="500" t="s">
        <v>857</v>
      </c>
      <c r="H273" s="500" t="s">
        <v>1004</v>
      </c>
      <c r="I273" s="500" t="s">
        <v>903</v>
      </c>
      <c r="J273" s="129" t="s">
        <v>1211</v>
      </c>
      <c r="K273" s="486">
        <v>0</v>
      </c>
      <c r="L273" s="486"/>
      <c r="M273" s="470"/>
      <c r="N273" s="486"/>
      <c r="O273" s="493"/>
    </row>
    <row r="274" spans="1:15">
      <c r="A274" s="496"/>
      <c r="B274" s="497"/>
      <c r="C274" s="498"/>
      <c r="D274" s="498"/>
      <c r="E274" s="498"/>
      <c r="F274" s="499"/>
      <c r="G274" s="500" t="s">
        <v>857</v>
      </c>
      <c r="H274" s="500" t="s">
        <v>1004</v>
      </c>
      <c r="I274" s="500" t="s">
        <v>906</v>
      </c>
      <c r="J274" s="129" t="s">
        <v>1212</v>
      </c>
      <c r="K274" s="486">
        <v>156</v>
      </c>
      <c r="L274" s="486">
        <v>1128</v>
      </c>
      <c r="M274" s="470">
        <v>1214</v>
      </c>
      <c r="N274" s="486">
        <v>156</v>
      </c>
      <c r="O274" s="493"/>
    </row>
    <row r="275" spans="1:15">
      <c r="A275" s="496"/>
      <c r="B275" s="497"/>
      <c r="C275" s="498"/>
      <c r="D275" s="498"/>
      <c r="E275" s="498"/>
      <c r="F275" s="499"/>
      <c r="G275" s="500" t="s">
        <v>857</v>
      </c>
      <c r="H275" s="500" t="s">
        <v>1004</v>
      </c>
      <c r="I275" s="500" t="s">
        <v>909</v>
      </c>
      <c r="J275" s="129" t="s">
        <v>1213</v>
      </c>
      <c r="K275" s="486">
        <v>29</v>
      </c>
      <c r="L275" s="486">
        <v>120</v>
      </c>
      <c r="M275" s="470">
        <v>146</v>
      </c>
      <c r="N275" s="486">
        <v>85</v>
      </c>
      <c r="O275" s="493"/>
    </row>
    <row r="276" spans="1:15">
      <c r="A276" s="496"/>
      <c r="B276" s="497"/>
      <c r="C276" s="498"/>
      <c r="D276" s="498"/>
      <c r="E276" s="498"/>
      <c r="F276" s="499"/>
      <c r="G276" s="500" t="s">
        <v>857</v>
      </c>
      <c r="H276" s="500" t="s">
        <v>1004</v>
      </c>
      <c r="I276" s="500" t="s">
        <v>911</v>
      </c>
      <c r="J276" s="129" t="s">
        <v>1214</v>
      </c>
      <c r="K276" s="486">
        <v>94</v>
      </c>
      <c r="L276" s="486">
        <v>16</v>
      </c>
      <c r="M276" s="470">
        <v>24</v>
      </c>
      <c r="N276" s="486">
        <v>1</v>
      </c>
      <c r="O276" s="493"/>
    </row>
    <row r="277" spans="1:15">
      <c r="A277" s="496"/>
      <c r="B277" s="497"/>
      <c r="C277" s="498"/>
      <c r="D277" s="498"/>
      <c r="E277" s="498"/>
      <c r="F277" s="499"/>
      <c r="G277" s="500" t="s">
        <v>857</v>
      </c>
      <c r="H277" s="500" t="s">
        <v>1004</v>
      </c>
      <c r="I277" s="500" t="s">
        <v>928</v>
      </c>
      <c r="J277" s="129" t="s">
        <v>1215</v>
      </c>
      <c r="K277" s="486"/>
      <c r="L277" s="486"/>
      <c r="M277" s="470"/>
      <c r="N277" s="486"/>
      <c r="O277" s="493"/>
    </row>
    <row r="278" spans="1:15">
      <c r="A278" s="496"/>
      <c r="B278" s="497"/>
      <c r="C278" s="498"/>
      <c r="D278" s="498"/>
      <c r="E278" s="498"/>
      <c r="F278" s="499"/>
      <c r="G278" s="500" t="s">
        <v>857</v>
      </c>
      <c r="H278" s="500" t="s">
        <v>1004</v>
      </c>
      <c r="I278" s="500" t="s">
        <v>1033</v>
      </c>
      <c r="J278" s="129" t="s">
        <v>1216</v>
      </c>
      <c r="K278" s="486">
        <v>236</v>
      </c>
      <c r="L278" s="486">
        <v>62</v>
      </c>
      <c r="M278" s="470">
        <v>78</v>
      </c>
      <c r="N278" s="486">
        <v>78</v>
      </c>
      <c r="O278" s="493"/>
    </row>
    <row r="279" spans="1:15">
      <c r="A279" s="496"/>
      <c r="B279" s="497"/>
      <c r="C279" s="498"/>
      <c r="D279" s="498"/>
      <c r="E279" s="498"/>
      <c r="F279" s="499"/>
      <c r="G279" s="500" t="s">
        <v>857</v>
      </c>
      <c r="H279" s="500" t="s">
        <v>1004</v>
      </c>
      <c r="I279" s="500" t="s">
        <v>917</v>
      </c>
      <c r="J279" s="129" t="s">
        <v>1217</v>
      </c>
      <c r="K279" s="486">
        <v>0</v>
      </c>
      <c r="L279" s="486">
        <v>0</v>
      </c>
      <c r="M279" s="470"/>
      <c r="N279" s="486"/>
      <c r="O279" s="493"/>
    </row>
    <row r="280" spans="1:15">
      <c r="A280" s="496"/>
      <c r="B280" s="497"/>
      <c r="C280" s="498"/>
      <c r="D280" s="498"/>
      <c r="E280" s="498"/>
      <c r="F280" s="499"/>
      <c r="G280" s="500" t="s">
        <v>857</v>
      </c>
      <c r="H280" s="500" t="s">
        <v>1004</v>
      </c>
      <c r="I280" s="500" t="s">
        <v>1038</v>
      </c>
      <c r="J280" s="129" t="s">
        <v>1218</v>
      </c>
      <c r="K280" s="486">
        <v>0</v>
      </c>
      <c r="L280" s="486">
        <v>0</v>
      </c>
      <c r="M280" s="470"/>
      <c r="N280" s="486"/>
      <c r="O280" s="493"/>
    </row>
    <row r="281" spans="1:15">
      <c r="A281" s="496"/>
      <c r="B281" s="497"/>
      <c r="C281" s="498"/>
      <c r="D281" s="498"/>
      <c r="E281" s="498"/>
      <c r="F281" s="499"/>
      <c r="G281" s="500" t="s">
        <v>857</v>
      </c>
      <c r="H281" s="500" t="s">
        <v>1004</v>
      </c>
      <c r="I281" s="500" t="s">
        <v>1219</v>
      </c>
      <c r="J281" s="129" t="s">
        <v>1220</v>
      </c>
      <c r="K281" s="486">
        <v>0</v>
      </c>
      <c r="L281" s="486">
        <v>0</v>
      </c>
      <c r="M281" s="470"/>
      <c r="N281" s="486"/>
      <c r="O281" s="493"/>
    </row>
    <row r="282" spans="1:15">
      <c r="A282" s="496"/>
      <c r="B282" s="497"/>
      <c r="C282" s="498"/>
      <c r="D282" s="498"/>
      <c r="E282" s="498"/>
      <c r="F282" s="499"/>
      <c r="G282" s="500" t="s">
        <v>857</v>
      </c>
      <c r="H282" s="500" t="s">
        <v>1004</v>
      </c>
      <c r="I282" s="500" t="s">
        <v>1040</v>
      </c>
      <c r="J282" s="129" t="s">
        <v>1221</v>
      </c>
      <c r="K282" s="486">
        <v>0</v>
      </c>
      <c r="L282" s="486">
        <v>0</v>
      </c>
      <c r="M282" s="470"/>
      <c r="N282" s="486"/>
      <c r="O282" s="493"/>
    </row>
    <row r="283" spans="1:15">
      <c r="A283" s="496"/>
      <c r="B283" s="497"/>
      <c r="C283" s="498"/>
      <c r="D283" s="498"/>
      <c r="E283" s="498"/>
      <c r="F283" s="499"/>
      <c r="G283" s="500" t="s">
        <v>857</v>
      </c>
      <c r="H283" s="500" t="s">
        <v>1004</v>
      </c>
      <c r="I283" s="500" t="s">
        <v>913</v>
      </c>
      <c r="J283" s="129" t="s">
        <v>1222</v>
      </c>
      <c r="K283" s="486">
        <v>0</v>
      </c>
      <c r="L283" s="486">
        <v>0</v>
      </c>
      <c r="M283" s="470"/>
      <c r="N283" s="486"/>
      <c r="O283" s="493"/>
    </row>
    <row r="284" spans="1:15">
      <c r="A284" s="496"/>
      <c r="B284" s="497"/>
      <c r="C284" s="498"/>
      <c r="D284" s="498"/>
      <c r="E284" s="498"/>
      <c r="F284" s="499"/>
      <c r="G284" s="500" t="s">
        <v>857</v>
      </c>
      <c r="H284" s="500" t="s">
        <v>900</v>
      </c>
      <c r="I284" s="500"/>
      <c r="J284" s="484" t="s">
        <v>1223</v>
      </c>
      <c r="K284" s="139">
        <f t="shared" ref="K284:N284" si="77">SUM(K285)</f>
        <v>0</v>
      </c>
      <c r="L284" s="139">
        <f t="shared" si="77"/>
        <v>0</v>
      </c>
      <c r="M284" s="139">
        <f t="shared" si="77"/>
        <v>0</v>
      </c>
      <c r="N284" s="139">
        <f t="shared" si="77"/>
        <v>0</v>
      </c>
      <c r="O284" s="493"/>
    </row>
    <row r="285" spans="1:15">
      <c r="A285" s="496"/>
      <c r="B285" s="497"/>
      <c r="C285" s="498"/>
      <c r="D285" s="498"/>
      <c r="E285" s="498"/>
      <c r="F285" s="499"/>
      <c r="G285" s="500" t="s">
        <v>857</v>
      </c>
      <c r="H285" s="500" t="s">
        <v>900</v>
      </c>
      <c r="I285" s="500" t="s">
        <v>913</v>
      </c>
      <c r="J285" s="129" t="s">
        <v>210</v>
      </c>
      <c r="K285" s="486"/>
      <c r="L285" s="486"/>
      <c r="M285" s="486"/>
      <c r="N285" s="486"/>
      <c r="O285" s="493"/>
    </row>
    <row r="286" spans="1:15">
      <c r="A286" s="496"/>
      <c r="B286" s="497"/>
      <c r="C286" s="498"/>
      <c r="D286" s="498"/>
      <c r="E286" s="498"/>
      <c r="F286" s="499"/>
      <c r="G286" s="501"/>
      <c r="H286" s="501"/>
      <c r="I286" s="501"/>
      <c r="J286" s="511" t="s">
        <v>1224</v>
      </c>
      <c r="K286" s="139">
        <f t="shared" ref="K286:N286" si="78">K287+K288+K289</f>
        <v>0</v>
      </c>
      <c r="L286" s="139">
        <f t="shared" si="78"/>
        <v>0</v>
      </c>
      <c r="M286" s="139">
        <f t="shared" si="78"/>
        <v>0</v>
      </c>
      <c r="N286" s="139">
        <f t="shared" si="78"/>
        <v>0</v>
      </c>
      <c r="O286" s="493"/>
    </row>
    <row r="287" spans="1:15">
      <c r="A287" s="496"/>
      <c r="B287" s="497"/>
      <c r="C287" s="498"/>
      <c r="D287" s="498"/>
      <c r="E287" s="498"/>
      <c r="F287" s="499"/>
      <c r="G287" s="500"/>
      <c r="H287" s="500"/>
      <c r="I287" s="500"/>
      <c r="J287" s="484" t="s">
        <v>1225</v>
      </c>
      <c r="K287" s="139"/>
      <c r="L287" s="139"/>
      <c r="M287" s="139"/>
      <c r="N287" s="139"/>
      <c r="O287" s="493"/>
    </row>
    <row r="288" spans="1:15">
      <c r="A288" s="496"/>
      <c r="B288" s="497"/>
      <c r="C288" s="498"/>
      <c r="D288" s="498"/>
      <c r="E288" s="498"/>
      <c r="F288" s="499"/>
      <c r="G288" s="500"/>
      <c r="H288" s="500"/>
      <c r="I288" s="500"/>
      <c r="J288" s="484" t="s">
        <v>1226</v>
      </c>
      <c r="K288" s="139"/>
      <c r="L288" s="139"/>
      <c r="M288" s="139"/>
      <c r="N288" s="139"/>
      <c r="O288" s="493"/>
    </row>
    <row r="289" spans="1:15">
      <c r="A289" s="496"/>
      <c r="B289" s="497"/>
      <c r="C289" s="498"/>
      <c r="D289" s="498"/>
      <c r="E289" s="498"/>
      <c r="F289" s="499"/>
      <c r="G289" s="500"/>
      <c r="H289" s="500"/>
      <c r="I289" s="500"/>
      <c r="J289" s="484" t="s">
        <v>1227</v>
      </c>
      <c r="K289" s="139"/>
      <c r="L289" s="139"/>
      <c r="M289" s="139"/>
      <c r="N289" s="139"/>
      <c r="O289" s="493"/>
    </row>
    <row r="290" spans="1:15">
      <c r="A290" s="496"/>
      <c r="B290" s="497"/>
      <c r="C290" s="498"/>
      <c r="D290" s="498"/>
      <c r="E290" s="498"/>
      <c r="F290" s="499"/>
      <c r="G290" s="501"/>
      <c r="H290" s="501"/>
      <c r="I290" s="501"/>
      <c r="J290" s="511" t="s">
        <v>1228</v>
      </c>
      <c r="K290" s="139">
        <f t="shared" ref="K290:N290" si="79">K291</f>
        <v>939</v>
      </c>
      <c r="L290" s="139">
        <f t="shared" si="79"/>
        <v>1973</v>
      </c>
      <c r="M290" s="139">
        <f t="shared" si="79"/>
        <v>2035</v>
      </c>
      <c r="N290" s="139">
        <f t="shared" si="79"/>
        <v>2845</v>
      </c>
      <c r="O290" s="493"/>
    </row>
    <row r="291" spans="1:15">
      <c r="A291" s="496"/>
      <c r="B291" s="497"/>
      <c r="C291" s="498"/>
      <c r="D291" s="498"/>
      <c r="E291" s="498"/>
      <c r="F291" s="499"/>
      <c r="G291" s="500"/>
      <c r="H291" s="500"/>
      <c r="I291" s="500"/>
      <c r="J291" s="484" t="s">
        <v>1229</v>
      </c>
      <c r="K291" s="139">
        <v>939</v>
      </c>
      <c r="L291" s="139">
        <v>1973</v>
      </c>
      <c r="M291" s="139">
        <v>2035</v>
      </c>
      <c r="N291" s="139">
        <v>2845</v>
      </c>
      <c r="O291" s="493"/>
    </row>
    <row r="292" spans="1:15">
      <c r="A292" s="496"/>
      <c r="B292" s="497"/>
      <c r="C292" s="498"/>
      <c r="D292" s="498"/>
      <c r="E292" s="498"/>
      <c r="F292" s="499"/>
      <c r="G292" s="501"/>
      <c r="H292" s="501"/>
      <c r="I292" s="501"/>
      <c r="J292" s="511" t="s">
        <v>1230</v>
      </c>
      <c r="K292" s="139">
        <f t="shared" ref="K292:N292" si="80">K293</f>
        <v>19</v>
      </c>
      <c r="L292" s="139">
        <f t="shared" si="80"/>
        <v>0</v>
      </c>
      <c r="M292" s="139">
        <f t="shared" si="80"/>
        <v>16</v>
      </c>
      <c r="N292" s="139">
        <f t="shared" si="80"/>
        <v>23</v>
      </c>
      <c r="O292" s="493"/>
    </row>
    <row r="293" spans="1:15">
      <c r="A293" s="496"/>
      <c r="B293" s="497"/>
      <c r="C293" s="498"/>
      <c r="D293" s="498"/>
      <c r="E293" s="498"/>
      <c r="F293" s="499"/>
      <c r="G293" s="500"/>
      <c r="H293" s="500"/>
      <c r="I293" s="500"/>
      <c r="J293" s="484" t="s">
        <v>1231</v>
      </c>
      <c r="K293" s="139">
        <v>19</v>
      </c>
      <c r="L293" s="139"/>
      <c r="M293" s="139">
        <v>16</v>
      </c>
      <c r="N293" s="139">
        <v>23</v>
      </c>
      <c r="O293" s="493"/>
    </row>
    <row r="294" spans="1:15">
      <c r="A294" s="496"/>
      <c r="B294" s="497"/>
      <c r="C294" s="498"/>
      <c r="D294" s="498"/>
      <c r="E294" s="498"/>
      <c r="F294" s="499"/>
      <c r="G294" s="501"/>
      <c r="H294" s="501"/>
      <c r="I294" s="501"/>
      <c r="J294" s="511" t="s">
        <v>1232</v>
      </c>
      <c r="K294" s="139">
        <f t="shared" ref="K294:N294" si="81">K295+K296</f>
        <v>0</v>
      </c>
      <c r="L294" s="139">
        <f t="shared" si="81"/>
        <v>0</v>
      </c>
      <c r="M294" s="139">
        <f t="shared" si="81"/>
        <v>0</v>
      </c>
      <c r="N294" s="139">
        <f t="shared" si="81"/>
        <v>0</v>
      </c>
      <c r="O294" s="493"/>
    </row>
    <row r="295" spans="1:15">
      <c r="A295" s="496"/>
      <c r="B295" s="497"/>
      <c r="C295" s="498"/>
      <c r="D295" s="498"/>
      <c r="E295" s="498"/>
      <c r="F295" s="499"/>
      <c r="G295" s="500"/>
      <c r="H295" s="500"/>
      <c r="I295" s="500"/>
      <c r="J295" s="484" t="s">
        <v>1233</v>
      </c>
      <c r="K295" s="139"/>
      <c r="L295" s="139"/>
      <c r="M295" s="139"/>
      <c r="N295" s="139"/>
      <c r="O295" s="493"/>
    </row>
    <row r="296" spans="1:15">
      <c r="A296" s="496"/>
      <c r="B296" s="497"/>
      <c r="C296" s="498"/>
      <c r="D296" s="498"/>
      <c r="E296" s="498"/>
      <c r="F296" s="499"/>
      <c r="G296" s="500"/>
      <c r="H296" s="500"/>
      <c r="I296" s="500"/>
      <c r="J296" s="484" t="s">
        <v>1234</v>
      </c>
      <c r="K296" s="139"/>
      <c r="L296" s="139"/>
      <c r="M296" s="139"/>
      <c r="N296" s="139"/>
      <c r="O296" s="493"/>
    </row>
    <row r="297" spans="1:15">
      <c r="A297" s="496"/>
      <c r="B297" s="497"/>
      <c r="C297" s="498"/>
      <c r="D297" s="498"/>
      <c r="E297" s="498"/>
      <c r="F297" s="499"/>
      <c r="G297" s="501"/>
      <c r="H297" s="501"/>
      <c r="I297" s="501"/>
      <c r="J297" s="512"/>
      <c r="K297" s="504"/>
      <c r="L297" s="504"/>
      <c r="M297" s="504"/>
      <c r="N297" s="504"/>
      <c r="O297" s="493"/>
    </row>
    <row r="298" spans="1:15">
      <c r="A298" s="496"/>
      <c r="B298" s="497"/>
      <c r="C298" s="498"/>
      <c r="D298" s="498"/>
      <c r="E298" s="498"/>
      <c r="F298" s="499"/>
      <c r="G298" s="501"/>
      <c r="H298" s="501"/>
      <c r="I298" s="501"/>
      <c r="J298" s="512"/>
      <c r="K298" s="504"/>
      <c r="L298" s="504"/>
      <c r="M298" s="504"/>
      <c r="N298" s="504"/>
      <c r="O298" s="493"/>
    </row>
    <row r="299" spans="1:15">
      <c r="A299" s="496"/>
      <c r="B299" s="497"/>
      <c r="C299" s="498"/>
      <c r="D299" s="498"/>
      <c r="E299" s="498"/>
      <c r="F299" s="499"/>
      <c r="G299" s="501"/>
      <c r="H299" s="501"/>
      <c r="I299" s="501"/>
      <c r="J299" s="513"/>
      <c r="K299" s="498"/>
      <c r="L299" s="498"/>
      <c r="M299" s="498"/>
      <c r="N299" s="498"/>
      <c r="O299" s="493"/>
    </row>
    <row r="300" spans="1:15">
      <c r="A300" s="503" t="s">
        <v>1235</v>
      </c>
      <c r="B300" s="466">
        <f>B5+B57</f>
        <v>5596</v>
      </c>
      <c r="C300" s="466">
        <f>C5+C57</f>
        <v>23600</v>
      </c>
      <c r="D300" s="466">
        <f>D5+D57</f>
        <v>13108</v>
      </c>
      <c r="E300" s="466">
        <f>E5+E57</f>
        <v>12924</v>
      </c>
      <c r="F300" s="507">
        <f t="shared" ref="F300:F312" si="82">IF(B300=0,0,SUM(E300/B300-1)*100)</f>
        <v>130.95</v>
      </c>
      <c r="G300" s="508"/>
      <c r="H300" s="508"/>
      <c r="I300" s="508"/>
      <c r="J300" s="474" t="s">
        <v>481</v>
      </c>
      <c r="K300" s="139">
        <f t="shared" ref="K300:N300" si="83">K5+K12+K27+K50+K57+K73+K134+K173+K223+K233+K237+K241+K245+K249+K254+K286+K290+K292+K294</f>
        <v>18634</v>
      </c>
      <c r="L300" s="139">
        <f t="shared" si="83"/>
        <v>33495</v>
      </c>
      <c r="M300" s="139">
        <f t="shared" si="83"/>
        <v>46113</v>
      </c>
      <c r="N300" s="139">
        <f t="shared" si="83"/>
        <v>34730</v>
      </c>
      <c r="O300" s="492">
        <f t="shared" ref="O300:O308" si="84">IF(K300=0,0,SUM(N300/K300-1)*100)</f>
        <v>86.38</v>
      </c>
    </row>
    <row r="301" spans="1:15">
      <c r="A301" s="502" t="s">
        <v>1236</v>
      </c>
      <c r="B301" s="504">
        <f>B302+B304</f>
        <v>0</v>
      </c>
      <c r="C301" s="504">
        <f>C302+C304</f>
        <v>0</v>
      </c>
      <c r="D301" s="504">
        <f>D302+D304</f>
        <v>0</v>
      </c>
      <c r="E301" s="504">
        <f>E302+E304</f>
        <v>0</v>
      </c>
      <c r="F301" s="507">
        <f t="shared" si="82"/>
        <v>0</v>
      </c>
      <c r="G301" s="508"/>
      <c r="H301" s="508"/>
      <c r="I301" s="508"/>
      <c r="J301" s="511" t="s">
        <v>1237</v>
      </c>
      <c r="K301" s="466">
        <f t="shared" ref="K301:N301" si="85">K302+K308</f>
        <v>27687</v>
      </c>
      <c r="L301" s="466">
        <f t="shared" si="85"/>
        <v>11463</v>
      </c>
      <c r="M301" s="466">
        <f t="shared" si="85"/>
        <v>5782</v>
      </c>
      <c r="N301" s="466">
        <f t="shared" si="85"/>
        <v>25647</v>
      </c>
      <c r="O301" s="492">
        <f t="shared" si="84"/>
        <v>-7.37</v>
      </c>
    </row>
    <row r="302" spans="1:15">
      <c r="A302" s="502" t="s">
        <v>1238</v>
      </c>
      <c r="B302" s="504">
        <f>B303</f>
        <v>0</v>
      </c>
      <c r="C302" s="504">
        <f>C303</f>
        <v>0</v>
      </c>
      <c r="D302" s="504">
        <f>D303</f>
        <v>0</v>
      </c>
      <c r="E302" s="504">
        <f>E303</f>
        <v>0</v>
      </c>
      <c r="F302" s="507">
        <f t="shared" si="82"/>
        <v>0</v>
      </c>
      <c r="G302" s="508"/>
      <c r="H302" s="508"/>
      <c r="I302" s="508"/>
      <c r="J302" s="502" t="s">
        <v>1239</v>
      </c>
      <c r="K302" s="466">
        <f t="shared" ref="K302:N302" si="86">SUM(K303:K307)</f>
        <v>19264</v>
      </c>
      <c r="L302" s="466">
        <f t="shared" si="86"/>
        <v>11463</v>
      </c>
      <c r="M302" s="466">
        <f t="shared" si="86"/>
        <v>0</v>
      </c>
      <c r="N302" s="466">
        <f t="shared" si="86"/>
        <v>19865</v>
      </c>
      <c r="O302" s="492">
        <f t="shared" si="84"/>
        <v>3.12</v>
      </c>
    </row>
    <row r="303" spans="1:15">
      <c r="A303" s="131" t="s">
        <v>1240</v>
      </c>
      <c r="B303" s="470"/>
      <c r="C303" s="470"/>
      <c r="D303" s="470"/>
      <c r="E303" s="470"/>
      <c r="F303" s="499">
        <f t="shared" si="82"/>
        <v>0</v>
      </c>
      <c r="G303" s="501"/>
      <c r="H303" s="501"/>
      <c r="I303" s="501"/>
      <c r="J303" s="131" t="s">
        <v>1241</v>
      </c>
      <c r="K303" s="498">
        <v>111</v>
      </c>
      <c r="L303" s="498"/>
      <c r="M303" s="498"/>
      <c r="N303" s="498"/>
      <c r="O303" s="493">
        <f t="shared" si="84"/>
        <v>-100</v>
      </c>
    </row>
    <row r="304" spans="1:15">
      <c r="A304" s="502" t="s">
        <v>1242</v>
      </c>
      <c r="B304" s="470">
        <f>B305</f>
        <v>0</v>
      </c>
      <c r="C304" s="470">
        <f>C305</f>
        <v>0</v>
      </c>
      <c r="D304" s="470">
        <f>D305</f>
        <v>0</v>
      </c>
      <c r="E304" s="470">
        <f>E305</f>
        <v>0</v>
      </c>
      <c r="F304" s="499">
        <f t="shared" si="82"/>
        <v>0</v>
      </c>
      <c r="G304" s="501"/>
      <c r="H304" s="501"/>
      <c r="I304" s="501"/>
      <c r="J304" s="131" t="s">
        <v>1243</v>
      </c>
      <c r="K304" s="498"/>
      <c r="L304" s="498">
        <v>11463</v>
      </c>
      <c r="M304" s="498"/>
      <c r="N304" s="498"/>
      <c r="O304" s="493">
        <f t="shared" si="84"/>
        <v>0</v>
      </c>
    </row>
    <row r="305" spans="1:15">
      <c r="A305" s="131" t="s">
        <v>1244</v>
      </c>
      <c r="B305" s="504"/>
      <c r="C305" s="504"/>
      <c r="D305" s="504"/>
      <c r="E305" s="504"/>
      <c r="F305" s="499">
        <f t="shared" si="82"/>
        <v>0</v>
      </c>
      <c r="G305" s="501"/>
      <c r="H305" s="501"/>
      <c r="I305" s="501"/>
      <c r="J305" s="131" t="s">
        <v>1245</v>
      </c>
      <c r="K305" s="504">
        <v>19153</v>
      </c>
      <c r="L305" s="466"/>
      <c r="M305" s="466"/>
      <c r="N305" s="466">
        <v>19865</v>
      </c>
      <c r="O305" s="492">
        <f t="shared" si="84"/>
        <v>3.72</v>
      </c>
    </row>
    <row r="306" spans="1:15">
      <c r="A306" s="502" t="s">
        <v>1246</v>
      </c>
      <c r="B306" s="504">
        <f>B307+B309+B310+B311+B312+B313</f>
        <v>40725</v>
      </c>
      <c r="C306" s="504">
        <f>C307+C309+C310+C311+C312+C313</f>
        <v>21358</v>
      </c>
      <c r="D306" s="504">
        <f>D307+D309+D310+D311+D312+D313</f>
        <v>38787</v>
      </c>
      <c r="E306" s="504">
        <f>E307+E309+E310+E311+E312+E313</f>
        <v>47453</v>
      </c>
      <c r="F306" s="499">
        <f t="shared" si="82"/>
        <v>16.52</v>
      </c>
      <c r="G306" s="501"/>
      <c r="H306" s="501"/>
      <c r="I306" s="501"/>
      <c r="J306" s="131" t="s">
        <v>1247</v>
      </c>
      <c r="K306" s="504"/>
      <c r="L306" s="466"/>
      <c r="M306" s="466"/>
      <c r="N306" s="466"/>
      <c r="O306" s="492">
        <f t="shared" si="84"/>
        <v>0</v>
      </c>
    </row>
    <row r="307" spans="1:15">
      <c r="A307" s="161" t="s">
        <v>1248</v>
      </c>
      <c r="B307" s="41">
        <v>2529</v>
      </c>
      <c r="C307" s="41">
        <v>1122</v>
      </c>
      <c r="D307" s="41">
        <v>1313</v>
      </c>
      <c r="E307" s="41">
        <v>1363</v>
      </c>
      <c r="F307" s="499">
        <f t="shared" si="82"/>
        <v>-46.11</v>
      </c>
      <c r="G307" s="501"/>
      <c r="H307" s="501"/>
      <c r="I307" s="501"/>
      <c r="J307" s="131" t="s">
        <v>1249</v>
      </c>
      <c r="K307" s="504"/>
      <c r="L307" s="466"/>
      <c r="M307" s="466"/>
      <c r="N307" s="466"/>
      <c r="O307" s="492">
        <f t="shared" si="84"/>
        <v>0</v>
      </c>
    </row>
    <row r="308" spans="1:15">
      <c r="A308" s="161" t="s">
        <v>1250</v>
      </c>
      <c r="B308" s="41">
        <v>557</v>
      </c>
      <c r="C308" s="41"/>
      <c r="D308" s="41"/>
      <c r="E308" s="41"/>
      <c r="F308" s="499">
        <f t="shared" si="82"/>
        <v>-100</v>
      </c>
      <c r="G308" s="500" t="s">
        <v>868</v>
      </c>
      <c r="H308" s="500" t="s">
        <v>911</v>
      </c>
      <c r="I308" s="500"/>
      <c r="J308" s="484" t="s">
        <v>1225</v>
      </c>
      <c r="K308" s="504">
        <v>8423</v>
      </c>
      <c r="L308" s="466"/>
      <c r="M308" s="466">
        <v>5782</v>
      </c>
      <c r="N308" s="466">
        <v>5782</v>
      </c>
      <c r="O308" s="492">
        <f t="shared" si="84"/>
        <v>-31.35</v>
      </c>
    </row>
    <row r="309" spans="1:15">
      <c r="A309" s="161" t="s">
        <v>1251</v>
      </c>
      <c r="B309" s="41"/>
      <c r="C309" s="41"/>
      <c r="D309" s="41"/>
      <c r="E309" s="41"/>
      <c r="F309" s="499">
        <f t="shared" si="82"/>
        <v>0</v>
      </c>
      <c r="G309" s="501"/>
      <c r="H309" s="501"/>
      <c r="I309" s="501"/>
      <c r="J309" s="514"/>
      <c r="K309" s="504"/>
      <c r="L309" s="466"/>
      <c r="M309" s="466"/>
      <c r="N309" s="466"/>
      <c r="O309" s="492"/>
    </row>
    <row r="310" spans="1:15">
      <c r="A310" s="161" t="s">
        <v>1252</v>
      </c>
      <c r="B310" s="41">
        <v>20219</v>
      </c>
      <c r="C310" s="41">
        <v>20236</v>
      </c>
      <c r="D310" s="41">
        <v>19153</v>
      </c>
      <c r="E310" s="41">
        <v>19153</v>
      </c>
      <c r="F310" s="499">
        <f t="shared" si="82"/>
        <v>-5.27</v>
      </c>
      <c r="G310" s="501"/>
      <c r="H310" s="501"/>
      <c r="I310" s="501"/>
      <c r="J310" s="514"/>
      <c r="K310" s="504"/>
      <c r="L310" s="466"/>
      <c r="M310" s="466"/>
      <c r="N310" s="466"/>
      <c r="O310" s="492"/>
    </row>
    <row r="311" spans="1:15">
      <c r="A311" s="161" t="s">
        <v>1253</v>
      </c>
      <c r="B311" s="41">
        <v>111</v>
      </c>
      <c r="C311" s="41"/>
      <c r="D311" s="41"/>
      <c r="E311" s="41"/>
      <c r="F311" s="499">
        <f t="shared" si="82"/>
        <v>-100</v>
      </c>
      <c r="G311" s="501"/>
      <c r="H311" s="501"/>
      <c r="I311" s="501"/>
      <c r="J311" s="514"/>
      <c r="K311" s="504"/>
      <c r="L311" s="466"/>
      <c r="M311" s="466"/>
      <c r="N311" s="466"/>
      <c r="O311" s="492"/>
    </row>
    <row r="312" spans="1:15">
      <c r="A312" s="162" t="s">
        <v>1254</v>
      </c>
      <c r="B312" s="41">
        <v>17866</v>
      </c>
      <c r="C312" s="41"/>
      <c r="D312" s="41">
        <v>18321</v>
      </c>
      <c r="E312" s="41">
        <v>26937</v>
      </c>
      <c r="F312" s="499">
        <f t="shared" si="82"/>
        <v>50.77</v>
      </c>
      <c r="G312" s="480"/>
      <c r="H312" s="480"/>
      <c r="I312" s="480"/>
      <c r="J312" s="514"/>
      <c r="K312" s="504">
        <f t="shared" ref="K312:N312" si="87">SUM(K313:K313)</f>
        <v>0</v>
      </c>
      <c r="L312" s="504">
        <f t="shared" si="87"/>
        <v>0</v>
      </c>
      <c r="M312" s="504">
        <f t="shared" si="87"/>
        <v>0</v>
      </c>
      <c r="N312" s="504">
        <f t="shared" si="87"/>
        <v>0</v>
      </c>
      <c r="O312" s="492">
        <f t="shared" ref="O312:O314" si="88">IF(K312=0,0,SUM(N312/K312-1)*100)</f>
        <v>0</v>
      </c>
    </row>
    <row r="313" spans="1:15">
      <c r="A313" s="162" t="s">
        <v>1255</v>
      </c>
      <c r="B313" s="470"/>
      <c r="C313" s="470"/>
      <c r="D313" s="470"/>
      <c r="E313" s="470"/>
      <c r="F313" s="478"/>
      <c r="G313" s="480"/>
      <c r="H313" s="480"/>
      <c r="I313" s="480"/>
      <c r="J313" s="515"/>
      <c r="K313" s="470"/>
      <c r="L313" s="470"/>
      <c r="M313" s="470"/>
      <c r="N313" s="470"/>
      <c r="O313" s="492">
        <f t="shared" si="88"/>
        <v>0</v>
      </c>
    </row>
    <row r="314" spans="1:15">
      <c r="A314" s="505" t="s">
        <v>1256</v>
      </c>
      <c r="B314" s="506">
        <f>B300+B301+B306</f>
        <v>46321</v>
      </c>
      <c r="C314" s="506">
        <f>C300+C301+C306</f>
        <v>44958</v>
      </c>
      <c r="D314" s="506">
        <f>D300+D301+D306</f>
        <v>51895</v>
      </c>
      <c r="E314" s="506">
        <f>E300+E301+E306</f>
        <v>60377</v>
      </c>
      <c r="F314" s="509">
        <f>IF(B314=0,0,SUM(E314/B314-1)*100)</f>
        <v>30.34</v>
      </c>
      <c r="G314" s="510"/>
      <c r="H314" s="510"/>
      <c r="I314" s="510"/>
      <c r="J314" s="516" t="s">
        <v>249</v>
      </c>
      <c r="K314" s="506">
        <f t="shared" ref="K314:N314" si="89">SUM(K300:K301)</f>
        <v>46321</v>
      </c>
      <c r="L314" s="506">
        <f t="shared" si="89"/>
        <v>44958</v>
      </c>
      <c r="M314" s="506">
        <f t="shared" si="89"/>
        <v>51895</v>
      </c>
      <c r="N314" s="506">
        <f t="shared" si="89"/>
        <v>60377</v>
      </c>
      <c r="O314" s="517">
        <f t="shared" si="88"/>
        <v>30.34</v>
      </c>
    </row>
  </sheetData>
  <autoFilter xmlns:etc="http://www.wps.cn/officeDocument/2017/etCustomData" ref="A4:O216" etc:filterBottomFollowUsedRange="0">
    <extLst/>
  </autoFilter>
  <mergeCells count="3">
    <mergeCell ref="A1:N1"/>
    <mergeCell ref="L2:N2"/>
    <mergeCell ref="A3:C3"/>
  </mergeCells>
  <pageMargins left="0.708661417322835" right="0.708661417322835" top="0.748031496062992" bottom="0.748031496062992" header="0.31496062992126" footer="0.31496062992126"/>
  <pageSetup paperSize="9" scale="88" fitToHeight="0" orientation="landscape" blackAndWhite="1"/>
  <headerFooter/>
  <rowBreaks count="1" manualBreakCount="1">
    <brk id="181" max="24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0"/>
  <sheetViews>
    <sheetView showZeros="0" zoomScaleSheetLayoutView="60" workbookViewId="0">
      <pane xSplit="2" ySplit="4" topLeftCell="C5" activePane="bottomRight" state="frozen"/>
      <selection/>
      <selection pane="topRight"/>
      <selection pane="bottomLeft"/>
      <selection pane="bottomRight" activeCell="M22" sqref="M22"/>
    </sheetView>
  </sheetViews>
  <sheetFormatPr defaultColWidth="9" defaultRowHeight="15.75"/>
  <cols>
    <col min="1" max="1" width="48" style="452" customWidth="1"/>
    <col min="2" max="2" width="10.5" style="452" customWidth="1"/>
    <col min="3" max="4" width="9.125" style="452" customWidth="1"/>
    <col min="5" max="6" width="9" style="452" customWidth="1"/>
    <col min="7" max="8" width="9.5" style="452" customWidth="1"/>
    <col min="9" max="9" width="11.375" style="452" customWidth="1"/>
    <col min="10" max="10" width="10.25" style="452" customWidth="1"/>
    <col min="11" max="11" width="11.75" style="452" customWidth="1"/>
    <col min="12" max="16384" width="9" style="119"/>
  </cols>
  <sheetData>
    <row r="1" s="119" customFormat="1" ht="33.75" customHeight="1" spans="1:11">
      <c r="A1" s="655" t="s">
        <v>1257</v>
      </c>
      <c r="B1" s="275"/>
      <c r="C1" s="275"/>
      <c r="D1" s="275"/>
      <c r="E1" s="275"/>
      <c r="F1" s="275"/>
      <c r="G1" s="275"/>
      <c r="H1" s="275"/>
      <c r="I1" s="275"/>
      <c r="J1" s="275"/>
      <c r="K1" s="275"/>
    </row>
    <row r="2" s="119" customFormat="1" ht="20.25" customHeight="1" spans="1:11">
      <c r="A2" s="452"/>
      <c r="B2" s="452"/>
      <c r="C2" s="452"/>
      <c r="D2" s="452"/>
      <c r="E2" s="452"/>
      <c r="F2" s="452"/>
      <c r="G2" s="452"/>
      <c r="H2" s="452"/>
      <c r="I2" s="452"/>
      <c r="J2" s="452"/>
      <c r="K2" s="453" t="s">
        <v>1258</v>
      </c>
    </row>
    <row r="3" s="107" customFormat="1" ht="31.5" customHeight="1" spans="1:11">
      <c r="A3" s="122" t="s">
        <v>89</v>
      </c>
      <c r="B3" s="123" t="s">
        <v>1259</v>
      </c>
      <c r="C3" s="123" t="s">
        <v>1260</v>
      </c>
      <c r="D3" s="670" t="s">
        <v>1261</v>
      </c>
      <c r="E3" s="123" t="s">
        <v>1262</v>
      </c>
      <c r="F3" s="670" t="s">
        <v>1263</v>
      </c>
      <c r="G3" s="123" t="s">
        <v>503</v>
      </c>
      <c r="H3" s="670" t="s">
        <v>1264</v>
      </c>
      <c r="I3" s="133" t="s">
        <v>501</v>
      </c>
      <c r="J3" s="123" t="s">
        <v>1265</v>
      </c>
      <c r="K3" s="122" t="s">
        <v>1266</v>
      </c>
    </row>
    <row r="4" s="107" customFormat="1" ht="25" customHeight="1" spans="1:11">
      <c r="A4" s="124"/>
      <c r="B4" s="125"/>
      <c r="C4" s="125"/>
      <c r="D4" s="136"/>
      <c r="E4" s="125"/>
      <c r="F4" s="125"/>
      <c r="G4" s="124"/>
      <c r="H4" s="124"/>
      <c r="I4" s="135"/>
      <c r="J4" s="136"/>
      <c r="K4" s="124"/>
    </row>
    <row r="5" s="451" customFormat="1" ht="18.4" customHeight="1" spans="1:11">
      <c r="A5" s="127" t="s">
        <v>898</v>
      </c>
      <c r="B5" s="128">
        <f t="shared" ref="B5:B68" si="0">SUM(C5:K5)</f>
        <v>0</v>
      </c>
      <c r="C5" s="128">
        <f t="shared" ref="C5:K5" si="1">C6</f>
        <v>0</v>
      </c>
      <c r="D5" s="128">
        <f t="shared" si="1"/>
        <v>0</v>
      </c>
      <c r="E5" s="128">
        <f t="shared" si="1"/>
        <v>0</v>
      </c>
      <c r="F5" s="128">
        <f t="shared" si="1"/>
        <v>0</v>
      </c>
      <c r="G5" s="128">
        <f t="shared" si="1"/>
        <v>0</v>
      </c>
      <c r="H5" s="128">
        <f t="shared" si="1"/>
        <v>0</v>
      </c>
      <c r="I5" s="128">
        <f t="shared" si="1"/>
        <v>0</v>
      </c>
      <c r="J5" s="128">
        <f t="shared" si="1"/>
        <v>0</v>
      </c>
      <c r="K5" s="128">
        <f t="shared" si="1"/>
        <v>0</v>
      </c>
    </row>
    <row r="6" s="118" customFormat="1" ht="18.4" customHeight="1" spans="1:11">
      <c r="A6" s="129" t="s">
        <v>1267</v>
      </c>
      <c r="B6" s="41">
        <f t="shared" si="0"/>
        <v>0</v>
      </c>
      <c r="C6" s="41"/>
      <c r="D6" s="41"/>
      <c r="E6" s="41"/>
      <c r="F6" s="41"/>
      <c r="G6" s="41"/>
      <c r="H6" s="41"/>
      <c r="I6" s="41"/>
      <c r="J6" s="41"/>
      <c r="K6" s="41"/>
    </row>
    <row r="7" s="451" customFormat="1" ht="18.4" customHeight="1" spans="1:11">
      <c r="A7" s="127" t="s">
        <v>915</v>
      </c>
      <c r="B7" s="128">
        <f t="shared" si="0"/>
        <v>0</v>
      </c>
      <c r="C7" s="128">
        <f t="shared" ref="C7:K7" si="2">C8+C9</f>
        <v>0</v>
      </c>
      <c r="D7" s="128">
        <f t="shared" si="2"/>
        <v>0</v>
      </c>
      <c r="E7" s="128">
        <f t="shared" si="2"/>
        <v>0</v>
      </c>
      <c r="F7" s="128">
        <f t="shared" si="2"/>
        <v>0</v>
      </c>
      <c r="G7" s="128">
        <f t="shared" si="2"/>
        <v>0</v>
      </c>
      <c r="H7" s="128">
        <f t="shared" si="2"/>
        <v>0</v>
      </c>
      <c r="I7" s="128">
        <f t="shared" si="2"/>
        <v>0</v>
      </c>
      <c r="J7" s="128">
        <f t="shared" si="2"/>
        <v>0</v>
      </c>
      <c r="K7" s="128">
        <f t="shared" si="2"/>
        <v>0</v>
      </c>
    </row>
    <row r="8" s="118" customFormat="1" ht="18.4" customHeight="1" spans="1:11">
      <c r="A8" s="130" t="s">
        <v>1268</v>
      </c>
      <c r="B8" s="41">
        <f t="shared" si="0"/>
        <v>0</v>
      </c>
      <c r="C8" s="41"/>
      <c r="D8" s="41"/>
      <c r="E8" s="41"/>
      <c r="F8" s="41"/>
      <c r="G8" s="41"/>
      <c r="H8" s="41"/>
      <c r="I8" s="41"/>
      <c r="J8" s="41"/>
      <c r="K8" s="41"/>
    </row>
    <row r="9" s="118" customFormat="1" ht="18.4" customHeight="1" spans="1:11">
      <c r="A9" s="129" t="s">
        <v>1267</v>
      </c>
      <c r="B9" s="41">
        <f t="shared" si="0"/>
        <v>0</v>
      </c>
      <c r="C9" s="41"/>
      <c r="D9" s="41"/>
      <c r="E9" s="41"/>
      <c r="F9" s="41"/>
      <c r="G9" s="41"/>
      <c r="H9" s="41"/>
      <c r="I9" s="41"/>
      <c r="J9" s="41"/>
      <c r="K9" s="41"/>
    </row>
    <row r="10" s="118" customFormat="1" ht="18.4" customHeight="1" spans="1:11">
      <c r="A10" s="127" t="s">
        <v>941</v>
      </c>
      <c r="B10" s="128">
        <f t="shared" si="0"/>
        <v>59</v>
      </c>
      <c r="C10" s="128">
        <f t="shared" ref="C10:K10" si="3">SUM(C11:C14)</f>
        <v>0</v>
      </c>
      <c r="D10" s="128">
        <f t="shared" si="3"/>
        <v>0</v>
      </c>
      <c r="E10" s="128">
        <f t="shared" si="3"/>
        <v>0</v>
      </c>
      <c r="F10" s="128">
        <f t="shared" si="3"/>
        <v>50</v>
      </c>
      <c r="G10" s="128">
        <f t="shared" si="3"/>
        <v>9</v>
      </c>
      <c r="H10" s="128">
        <f t="shared" si="3"/>
        <v>0</v>
      </c>
      <c r="I10" s="128">
        <f t="shared" si="3"/>
        <v>0</v>
      </c>
      <c r="J10" s="128">
        <f t="shared" si="3"/>
        <v>0</v>
      </c>
      <c r="K10" s="128">
        <f t="shared" si="3"/>
        <v>0</v>
      </c>
    </row>
    <row r="11" s="451" customFormat="1" ht="18.4" customHeight="1" spans="1:11">
      <c r="A11" s="130" t="s">
        <v>1269</v>
      </c>
      <c r="B11" s="41">
        <f t="shared" si="0"/>
        <v>9</v>
      </c>
      <c r="C11" s="41"/>
      <c r="D11" s="41"/>
      <c r="E11" s="41"/>
      <c r="F11" s="41"/>
      <c r="G11" s="41">
        <v>9</v>
      </c>
      <c r="H11" s="41"/>
      <c r="I11" s="41"/>
      <c r="J11" s="41"/>
      <c r="K11" s="41"/>
    </row>
    <row r="12" s="118" customFormat="1" ht="18.4" customHeight="1" spans="1:11">
      <c r="A12" s="130" t="s">
        <v>1270</v>
      </c>
      <c r="B12" s="41">
        <f t="shared" si="0"/>
        <v>50</v>
      </c>
      <c r="C12" s="41"/>
      <c r="D12" s="41"/>
      <c r="E12" s="41"/>
      <c r="F12" s="41">
        <v>50</v>
      </c>
      <c r="G12" s="41"/>
      <c r="H12" s="41"/>
      <c r="I12" s="41"/>
      <c r="J12" s="41"/>
      <c r="K12" s="41"/>
    </row>
    <row r="13" s="118" customFormat="1" ht="18.4" customHeight="1" spans="1:11">
      <c r="A13" s="130" t="s">
        <v>1271</v>
      </c>
      <c r="B13" s="41">
        <f t="shared" si="0"/>
        <v>0</v>
      </c>
      <c r="C13" s="41"/>
      <c r="D13" s="41"/>
      <c r="E13" s="41"/>
      <c r="F13" s="41"/>
      <c r="G13" s="41"/>
      <c r="H13" s="41"/>
      <c r="I13" s="41"/>
      <c r="J13" s="41"/>
      <c r="K13" s="41"/>
    </row>
    <row r="14" s="118" customFormat="1" ht="18.4" customHeight="1" spans="1:11">
      <c r="A14" s="129" t="s">
        <v>1267</v>
      </c>
      <c r="B14" s="41">
        <f t="shared" si="0"/>
        <v>0</v>
      </c>
      <c r="C14" s="41"/>
      <c r="D14" s="41"/>
      <c r="E14" s="41"/>
      <c r="F14" s="41"/>
      <c r="G14" s="41"/>
      <c r="H14" s="41"/>
      <c r="I14" s="41"/>
      <c r="J14" s="41"/>
      <c r="K14" s="41"/>
    </row>
    <row r="15" s="451" customFormat="1" ht="18.4" customHeight="1" spans="1:11">
      <c r="A15" s="127" t="s">
        <v>1272</v>
      </c>
      <c r="B15" s="128">
        <f t="shared" si="0"/>
        <v>0</v>
      </c>
      <c r="C15" s="128">
        <f t="shared" ref="C15:K15" si="4">SUM(C16)</f>
        <v>0</v>
      </c>
      <c r="D15" s="128">
        <f t="shared" si="4"/>
        <v>0</v>
      </c>
      <c r="E15" s="128">
        <f t="shared" si="4"/>
        <v>0</v>
      </c>
      <c r="F15" s="128">
        <f t="shared" si="4"/>
        <v>0</v>
      </c>
      <c r="G15" s="128">
        <f t="shared" si="4"/>
        <v>0</v>
      </c>
      <c r="H15" s="128">
        <f t="shared" si="4"/>
        <v>0</v>
      </c>
      <c r="I15" s="128">
        <f t="shared" si="4"/>
        <v>0</v>
      </c>
      <c r="J15" s="128">
        <f t="shared" si="4"/>
        <v>0</v>
      </c>
      <c r="K15" s="128">
        <f t="shared" si="4"/>
        <v>0</v>
      </c>
    </row>
    <row r="16" s="118" customFormat="1" ht="18.4" customHeight="1" spans="1:11">
      <c r="A16" s="129" t="s">
        <v>1267</v>
      </c>
      <c r="B16" s="41">
        <f t="shared" si="0"/>
        <v>0</v>
      </c>
      <c r="C16" s="41"/>
      <c r="D16" s="41"/>
      <c r="E16" s="41"/>
      <c r="F16" s="41"/>
      <c r="G16" s="41"/>
      <c r="H16" s="41"/>
      <c r="I16" s="41"/>
      <c r="J16" s="41"/>
      <c r="K16" s="41"/>
    </row>
    <row r="17" s="118" customFormat="1" ht="18.4" customHeight="1" spans="1:11">
      <c r="A17" s="127" t="s">
        <v>1273</v>
      </c>
      <c r="B17" s="128">
        <f t="shared" si="0"/>
        <v>0</v>
      </c>
      <c r="C17" s="128">
        <f t="shared" ref="C17:K17" si="5">SUM(C18:C20)</f>
        <v>0</v>
      </c>
      <c r="D17" s="128">
        <f t="shared" si="5"/>
        <v>0</v>
      </c>
      <c r="E17" s="128">
        <f t="shared" si="5"/>
        <v>0</v>
      </c>
      <c r="F17" s="128">
        <f t="shared" si="5"/>
        <v>0</v>
      </c>
      <c r="G17" s="128">
        <f t="shared" si="5"/>
        <v>0</v>
      </c>
      <c r="H17" s="128">
        <f t="shared" si="5"/>
        <v>0</v>
      </c>
      <c r="I17" s="128">
        <f t="shared" si="5"/>
        <v>0</v>
      </c>
      <c r="J17" s="128">
        <f t="shared" si="5"/>
        <v>0</v>
      </c>
      <c r="K17" s="128">
        <f t="shared" si="5"/>
        <v>0</v>
      </c>
    </row>
    <row r="18" s="451" customFormat="1" ht="18.4" customHeight="1" spans="1:11">
      <c r="A18" s="129" t="s">
        <v>1274</v>
      </c>
      <c r="B18" s="41">
        <f t="shared" si="0"/>
        <v>0</v>
      </c>
      <c r="C18" s="41"/>
      <c r="D18" s="41"/>
      <c r="E18" s="41"/>
      <c r="F18" s="41"/>
      <c r="G18" s="41"/>
      <c r="H18" s="41"/>
      <c r="I18" s="41"/>
      <c r="J18" s="41"/>
      <c r="K18" s="41"/>
    </row>
    <row r="19" s="118" customFormat="1" ht="18.4" customHeight="1" spans="1:11">
      <c r="A19" s="129" t="s">
        <v>1275</v>
      </c>
      <c r="B19" s="41">
        <f t="shared" si="0"/>
        <v>0</v>
      </c>
      <c r="C19" s="41"/>
      <c r="D19" s="41"/>
      <c r="E19" s="41"/>
      <c r="F19" s="41"/>
      <c r="G19" s="41"/>
      <c r="H19" s="41"/>
      <c r="I19" s="41"/>
      <c r="J19" s="41"/>
      <c r="K19" s="41"/>
    </row>
    <row r="20" s="118" customFormat="1" ht="18.4" customHeight="1" spans="1:11">
      <c r="A20" s="129" t="s">
        <v>1267</v>
      </c>
      <c r="B20" s="41">
        <f t="shared" si="0"/>
        <v>0</v>
      </c>
      <c r="C20" s="41"/>
      <c r="D20" s="41"/>
      <c r="E20" s="41"/>
      <c r="F20" s="41"/>
      <c r="G20" s="41"/>
      <c r="H20" s="41"/>
      <c r="I20" s="41"/>
      <c r="J20" s="41"/>
      <c r="K20" s="41"/>
    </row>
    <row r="21" s="118" customFormat="1" ht="18.4" customHeight="1" spans="1:11">
      <c r="A21" s="127" t="s">
        <v>1276</v>
      </c>
      <c r="B21" s="128">
        <f t="shared" si="0"/>
        <v>39215</v>
      </c>
      <c r="C21" s="128">
        <f t="shared" ref="C21:K21" si="6">SUM(C22:C32)</f>
        <v>10164</v>
      </c>
      <c r="D21" s="128">
        <f t="shared" si="6"/>
        <v>-1738</v>
      </c>
      <c r="E21" s="128">
        <f t="shared" si="6"/>
        <v>0</v>
      </c>
      <c r="F21" s="128">
        <f t="shared" si="6"/>
        <v>0</v>
      </c>
      <c r="G21" s="128">
        <f t="shared" si="6"/>
        <v>10717</v>
      </c>
      <c r="H21" s="128">
        <f t="shared" si="6"/>
        <v>-1083</v>
      </c>
      <c r="I21" s="128">
        <f t="shared" si="6"/>
        <v>0</v>
      </c>
      <c r="J21" s="128">
        <f t="shared" si="6"/>
        <v>21155</v>
      </c>
      <c r="K21" s="128">
        <f t="shared" si="6"/>
        <v>0</v>
      </c>
    </row>
    <row r="22" s="118" customFormat="1" ht="18.4" customHeight="1" spans="1:11">
      <c r="A22" s="129" t="s">
        <v>1277</v>
      </c>
      <c r="B22" s="41">
        <f t="shared" si="0"/>
        <v>15382</v>
      </c>
      <c r="C22" s="41">
        <v>9314</v>
      </c>
      <c r="D22" s="41">
        <v>-1552</v>
      </c>
      <c r="E22" s="41"/>
      <c r="F22" s="41"/>
      <c r="G22" s="41">
        <v>8468</v>
      </c>
      <c r="H22" s="41">
        <v>-848</v>
      </c>
      <c r="I22" s="41"/>
      <c r="J22" s="41"/>
      <c r="K22" s="41"/>
    </row>
    <row r="23" s="118" customFormat="1" ht="18.4" customHeight="1" spans="1:11">
      <c r="A23" s="129" t="s">
        <v>1278</v>
      </c>
      <c r="B23" s="41">
        <f t="shared" si="0"/>
        <v>0</v>
      </c>
      <c r="C23" s="41"/>
      <c r="D23" s="41"/>
      <c r="E23" s="41"/>
      <c r="F23" s="41"/>
      <c r="G23" s="41"/>
      <c r="H23" s="41"/>
      <c r="I23" s="41"/>
      <c r="J23" s="41"/>
      <c r="K23" s="41"/>
    </row>
    <row r="24" s="118" customFormat="1" ht="18.4" customHeight="1" spans="1:11">
      <c r="A24" s="129" t="s">
        <v>1279</v>
      </c>
      <c r="B24" s="41">
        <f t="shared" si="0"/>
        <v>262</v>
      </c>
      <c r="C24" s="41"/>
      <c r="D24" s="41"/>
      <c r="E24" s="41"/>
      <c r="F24" s="41"/>
      <c r="G24" s="41">
        <v>262</v>
      </c>
      <c r="H24" s="41"/>
      <c r="I24" s="41"/>
      <c r="J24" s="41"/>
      <c r="K24" s="41"/>
    </row>
    <row r="25" s="118" customFormat="1" ht="18.4" customHeight="1" spans="1:11">
      <c r="A25" s="129" t="s">
        <v>1280</v>
      </c>
      <c r="B25" s="41">
        <f t="shared" si="0"/>
        <v>333</v>
      </c>
      <c r="C25" s="41"/>
      <c r="D25" s="41">
        <v>217</v>
      </c>
      <c r="E25" s="41"/>
      <c r="F25" s="41"/>
      <c r="G25" s="41"/>
      <c r="H25" s="41">
        <v>116</v>
      </c>
      <c r="I25" s="41"/>
      <c r="J25" s="41"/>
      <c r="K25" s="41"/>
    </row>
    <row r="26" s="118" customFormat="1" ht="19" customHeight="1" spans="1:11">
      <c r="A26" s="129" t="s">
        <v>1281</v>
      </c>
      <c r="B26" s="41">
        <f t="shared" si="0"/>
        <v>1093</v>
      </c>
      <c r="C26" s="41">
        <v>650</v>
      </c>
      <c r="D26" s="41">
        <v>-203</v>
      </c>
      <c r="E26" s="41"/>
      <c r="F26" s="41"/>
      <c r="G26" s="41">
        <v>46</v>
      </c>
      <c r="H26" s="41">
        <v>600</v>
      </c>
      <c r="I26" s="41"/>
      <c r="J26" s="41"/>
      <c r="K26" s="41"/>
    </row>
    <row r="27" s="118" customFormat="1" ht="18.4" customHeight="1" spans="1:11">
      <c r="A27" s="129" t="s">
        <v>1282</v>
      </c>
      <c r="B27" s="41">
        <f t="shared" si="0"/>
        <v>0</v>
      </c>
      <c r="C27" s="41"/>
      <c r="D27" s="41"/>
      <c r="E27" s="41"/>
      <c r="F27" s="41"/>
      <c r="G27" s="41"/>
      <c r="H27" s="41"/>
      <c r="I27" s="41"/>
      <c r="J27" s="41"/>
      <c r="K27" s="41"/>
    </row>
    <row r="28" s="118" customFormat="1" ht="18.4" customHeight="1" spans="1:11">
      <c r="A28" s="129" t="s">
        <v>1283</v>
      </c>
      <c r="B28" s="41">
        <f t="shared" si="0"/>
        <v>0</v>
      </c>
      <c r="C28" s="41">
        <v>200</v>
      </c>
      <c r="D28" s="41">
        <v>-200</v>
      </c>
      <c r="E28" s="41"/>
      <c r="F28" s="41"/>
      <c r="G28" s="41"/>
      <c r="H28" s="41"/>
      <c r="I28" s="41"/>
      <c r="J28" s="41"/>
      <c r="K28" s="41"/>
    </row>
    <row r="29" s="451" customFormat="1" ht="18.4" customHeight="1" spans="1:11">
      <c r="A29" s="129" t="s">
        <v>1284</v>
      </c>
      <c r="B29" s="41">
        <f t="shared" si="0"/>
        <v>0</v>
      </c>
      <c r="C29" s="41"/>
      <c r="D29" s="41"/>
      <c r="E29" s="41"/>
      <c r="F29" s="41"/>
      <c r="G29" s="41"/>
      <c r="H29" s="41"/>
      <c r="I29" s="41"/>
      <c r="J29" s="41"/>
      <c r="K29" s="41"/>
    </row>
    <row r="30" s="118" customFormat="1" ht="18.4" customHeight="1" spans="1:11">
      <c r="A30" s="129" t="s">
        <v>1285</v>
      </c>
      <c r="B30" s="41">
        <f t="shared" si="0"/>
        <v>0</v>
      </c>
      <c r="C30" s="41"/>
      <c r="D30" s="41"/>
      <c r="E30" s="41"/>
      <c r="F30" s="41"/>
      <c r="G30" s="41"/>
      <c r="H30" s="41"/>
      <c r="I30" s="41"/>
      <c r="J30" s="41"/>
      <c r="K30" s="41"/>
    </row>
    <row r="31" s="118" customFormat="1" ht="18.4" customHeight="1" spans="1:11">
      <c r="A31" s="129" t="s">
        <v>1286</v>
      </c>
      <c r="B31" s="41">
        <f t="shared" si="0"/>
        <v>22145</v>
      </c>
      <c r="C31" s="41"/>
      <c r="D31" s="41"/>
      <c r="E31" s="41"/>
      <c r="F31" s="41"/>
      <c r="G31" s="41">
        <v>1941</v>
      </c>
      <c r="H31" s="41">
        <v>-951</v>
      </c>
      <c r="I31" s="41"/>
      <c r="J31" s="41">
        <v>21155</v>
      </c>
      <c r="K31" s="41"/>
    </row>
    <row r="32" s="118" customFormat="1" ht="18.4" customHeight="1" spans="1:11">
      <c r="A32" s="129" t="s">
        <v>1267</v>
      </c>
      <c r="B32" s="41">
        <f t="shared" si="0"/>
        <v>0</v>
      </c>
      <c r="C32" s="41"/>
      <c r="D32" s="41"/>
      <c r="E32" s="41"/>
      <c r="F32" s="41"/>
      <c r="G32" s="41"/>
      <c r="H32" s="41"/>
      <c r="I32" s="41"/>
      <c r="J32" s="41"/>
      <c r="K32" s="41"/>
    </row>
    <row r="33" s="118" customFormat="1" ht="18.4" customHeight="1" spans="1:11">
      <c r="A33" s="127" t="s">
        <v>1287</v>
      </c>
      <c r="B33" s="128">
        <f t="shared" si="0"/>
        <v>8321</v>
      </c>
      <c r="C33" s="128">
        <f t="shared" ref="C33:K33" si="7">SUM(C34:C42)</f>
        <v>0</v>
      </c>
      <c r="D33" s="128">
        <f t="shared" si="7"/>
        <v>0</v>
      </c>
      <c r="E33" s="128">
        <f t="shared" si="7"/>
        <v>994</v>
      </c>
      <c r="F33" s="128">
        <f t="shared" si="7"/>
        <v>50</v>
      </c>
      <c r="G33" s="128">
        <f t="shared" si="7"/>
        <v>7277</v>
      </c>
      <c r="H33" s="128">
        <f t="shared" si="7"/>
        <v>0</v>
      </c>
      <c r="I33" s="128">
        <f t="shared" si="7"/>
        <v>0</v>
      </c>
      <c r="J33" s="128">
        <f t="shared" si="7"/>
        <v>0</v>
      </c>
      <c r="K33" s="128">
        <f t="shared" si="7"/>
        <v>0</v>
      </c>
    </row>
    <row r="34" s="118" customFormat="1" ht="18.4" customHeight="1" spans="1:11">
      <c r="A34" s="129" t="s">
        <v>1288</v>
      </c>
      <c r="B34" s="41">
        <f t="shared" si="0"/>
        <v>1091</v>
      </c>
      <c r="C34" s="41"/>
      <c r="D34" s="41"/>
      <c r="E34" s="41"/>
      <c r="F34" s="41"/>
      <c r="G34" s="41">
        <v>1091</v>
      </c>
      <c r="H34" s="41"/>
      <c r="I34" s="41"/>
      <c r="J34" s="41"/>
      <c r="K34" s="41"/>
    </row>
    <row r="35" s="118" customFormat="1" ht="18.4" customHeight="1" spans="1:11">
      <c r="A35" s="129" t="s">
        <v>1289</v>
      </c>
      <c r="B35" s="41">
        <f t="shared" si="0"/>
        <v>0</v>
      </c>
      <c r="C35" s="41"/>
      <c r="D35" s="41"/>
      <c r="E35" s="41"/>
      <c r="F35" s="41"/>
      <c r="G35" s="41"/>
      <c r="H35" s="41"/>
      <c r="I35" s="41"/>
      <c r="J35" s="41"/>
      <c r="K35" s="41"/>
    </row>
    <row r="36" s="118" customFormat="1" ht="18.4" customHeight="1" spans="1:11">
      <c r="A36" s="129" t="s">
        <v>1290</v>
      </c>
      <c r="B36" s="41">
        <f t="shared" si="0"/>
        <v>234</v>
      </c>
      <c r="C36" s="41"/>
      <c r="D36" s="41"/>
      <c r="E36" s="41"/>
      <c r="F36" s="41"/>
      <c r="G36" s="41">
        <v>234</v>
      </c>
      <c r="H36" s="41"/>
      <c r="I36" s="41"/>
      <c r="J36" s="41"/>
      <c r="K36" s="41"/>
    </row>
    <row r="37" s="118" customFormat="1" ht="18.4" customHeight="1" spans="1:11">
      <c r="A37" s="129" t="s">
        <v>1291</v>
      </c>
      <c r="B37" s="41">
        <f t="shared" si="0"/>
        <v>0</v>
      </c>
      <c r="C37" s="41"/>
      <c r="D37" s="41"/>
      <c r="E37" s="41"/>
      <c r="F37" s="41"/>
      <c r="G37" s="41"/>
      <c r="H37" s="41"/>
      <c r="I37" s="41"/>
      <c r="J37" s="41"/>
      <c r="K37" s="41"/>
    </row>
    <row r="38" s="451" customFormat="1" ht="18.4" customHeight="1" spans="1:11">
      <c r="A38" s="131" t="s">
        <v>1292</v>
      </c>
      <c r="B38" s="41">
        <f t="shared" si="0"/>
        <v>0</v>
      </c>
      <c r="C38" s="41"/>
      <c r="D38" s="41"/>
      <c r="E38" s="41"/>
      <c r="F38" s="41"/>
      <c r="G38" s="41"/>
      <c r="H38" s="41"/>
      <c r="I38" s="41"/>
      <c r="J38" s="41"/>
      <c r="K38" s="41"/>
    </row>
    <row r="39" s="118" customFormat="1" ht="18.4" customHeight="1" spans="1:11">
      <c r="A39" s="131" t="s">
        <v>1293</v>
      </c>
      <c r="B39" s="41">
        <f t="shared" si="0"/>
        <v>6701</v>
      </c>
      <c r="C39" s="41"/>
      <c r="D39" s="41"/>
      <c r="E39" s="41">
        <v>994</v>
      </c>
      <c r="F39" s="41">
        <v>10</v>
      </c>
      <c r="G39" s="41">
        <v>5697</v>
      </c>
      <c r="H39" s="41"/>
      <c r="I39" s="41"/>
      <c r="J39" s="41"/>
      <c r="K39" s="41"/>
    </row>
    <row r="40" s="118" customFormat="1" ht="18.4" customHeight="1" spans="1:11">
      <c r="A40" s="131" t="s">
        <v>1294</v>
      </c>
      <c r="B40" s="41">
        <f t="shared" si="0"/>
        <v>295</v>
      </c>
      <c r="C40" s="41"/>
      <c r="D40" s="41"/>
      <c r="E40" s="41"/>
      <c r="F40" s="41">
        <v>40</v>
      </c>
      <c r="G40" s="41">
        <v>255</v>
      </c>
      <c r="H40" s="41"/>
      <c r="I40" s="41"/>
      <c r="J40" s="41"/>
      <c r="K40" s="41"/>
    </row>
    <row r="41" s="118" customFormat="1" ht="18.4" customHeight="1" spans="1:11">
      <c r="A41" s="131" t="s">
        <v>1295</v>
      </c>
      <c r="B41" s="41">
        <f t="shared" si="0"/>
        <v>0</v>
      </c>
      <c r="C41" s="41"/>
      <c r="D41" s="41"/>
      <c r="E41" s="41"/>
      <c r="F41" s="41"/>
      <c r="G41" s="41"/>
      <c r="H41" s="41"/>
      <c r="I41" s="41"/>
      <c r="J41" s="41"/>
      <c r="K41" s="41"/>
    </row>
    <row r="42" s="118" customFormat="1" ht="18.4" customHeight="1" spans="1:11">
      <c r="A42" s="131" t="s">
        <v>1267</v>
      </c>
      <c r="B42" s="41">
        <f t="shared" si="0"/>
        <v>0</v>
      </c>
      <c r="C42" s="41"/>
      <c r="D42" s="41"/>
      <c r="E42" s="41"/>
      <c r="F42" s="41"/>
      <c r="G42" s="41"/>
      <c r="H42" s="41"/>
      <c r="I42" s="41"/>
      <c r="J42" s="41"/>
      <c r="K42" s="41"/>
    </row>
    <row r="43" s="118" customFormat="1" ht="18.4" customHeight="1" spans="1:11">
      <c r="A43" s="127" t="s">
        <v>1296</v>
      </c>
      <c r="B43" s="128">
        <f t="shared" si="0"/>
        <v>0</v>
      </c>
      <c r="C43" s="128">
        <f t="shared" ref="C43:K43" si="8">SUM(C44:C52)</f>
        <v>0</v>
      </c>
      <c r="D43" s="128">
        <f t="shared" si="8"/>
        <v>0</v>
      </c>
      <c r="E43" s="128">
        <f t="shared" si="8"/>
        <v>0</v>
      </c>
      <c r="F43" s="128">
        <f t="shared" si="8"/>
        <v>0</v>
      </c>
      <c r="G43" s="128">
        <f t="shared" si="8"/>
        <v>0</v>
      </c>
      <c r="H43" s="128">
        <f t="shared" si="8"/>
        <v>0</v>
      </c>
      <c r="I43" s="128">
        <f t="shared" si="8"/>
        <v>0</v>
      </c>
      <c r="J43" s="128">
        <f t="shared" si="8"/>
        <v>0</v>
      </c>
      <c r="K43" s="128">
        <f t="shared" si="8"/>
        <v>0</v>
      </c>
    </row>
    <row r="44" s="118" customFormat="1" ht="18.4" customHeight="1" spans="1:11">
      <c r="A44" s="129" t="s">
        <v>1297</v>
      </c>
      <c r="B44" s="41">
        <f t="shared" si="0"/>
        <v>0</v>
      </c>
      <c r="C44" s="41"/>
      <c r="D44" s="41"/>
      <c r="E44" s="41"/>
      <c r="F44" s="41"/>
      <c r="G44" s="41"/>
      <c r="H44" s="41"/>
      <c r="I44" s="41"/>
      <c r="J44" s="41"/>
      <c r="K44" s="41"/>
    </row>
    <row r="45" s="118" customFormat="1" ht="18.4" customHeight="1" spans="1:11">
      <c r="A45" s="129" t="s">
        <v>1298</v>
      </c>
      <c r="B45" s="41">
        <f t="shared" si="0"/>
        <v>0</v>
      </c>
      <c r="C45" s="41"/>
      <c r="D45" s="41"/>
      <c r="E45" s="41"/>
      <c r="F45" s="41"/>
      <c r="G45" s="41"/>
      <c r="H45" s="41"/>
      <c r="I45" s="41"/>
      <c r="J45" s="41"/>
      <c r="K45" s="41"/>
    </row>
    <row r="46" s="118" customFormat="1" ht="18.4" customHeight="1" spans="1:11">
      <c r="A46" s="129" t="s">
        <v>1299</v>
      </c>
      <c r="B46" s="41">
        <f t="shared" si="0"/>
        <v>0</v>
      </c>
      <c r="C46" s="41"/>
      <c r="D46" s="41"/>
      <c r="E46" s="41"/>
      <c r="F46" s="41"/>
      <c r="G46" s="41"/>
      <c r="H46" s="41"/>
      <c r="I46" s="41"/>
      <c r="J46" s="41"/>
      <c r="K46" s="41"/>
    </row>
    <row r="47" s="451" customFormat="1" ht="18.4" customHeight="1" spans="1:11">
      <c r="A47" s="129" t="s">
        <v>1300</v>
      </c>
      <c r="B47" s="41">
        <f t="shared" si="0"/>
        <v>0</v>
      </c>
      <c r="C47" s="41"/>
      <c r="D47" s="41"/>
      <c r="E47" s="41"/>
      <c r="F47" s="41"/>
      <c r="G47" s="41"/>
      <c r="H47" s="41"/>
      <c r="I47" s="41"/>
      <c r="J47" s="41"/>
      <c r="K47" s="41"/>
    </row>
    <row r="48" s="118" customFormat="1" ht="18.4" customHeight="1" spans="1:11">
      <c r="A48" s="129" t="s">
        <v>1301</v>
      </c>
      <c r="B48" s="41">
        <f t="shared" si="0"/>
        <v>0</v>
      </c>
      <c r="C48" s="41"/>
      <c r="D48" s="41"/>
      <c r="E48" s="41"/>
      <c r="F48" s="41"/>
      <c r="G48" s="41"/>
      <c r="H48" s="41"/>
      <c r="I48" s="41"/>
      <c r="J48" s="41"/>
      <c r="K48" s="41"/>
    </row>
    <row r="49" s="451" customFormat="1" ht="18.4" customHeight="1" spans="1:11">
      <c r="A49" s="129" t="s">
        <v>1302</v>
      </c>
      <c r="B49" s="41">
        <f t="shared" si="0"/>
        <v>0</v>
      </c>
      <c r="C49" s="41"/>
      <c r="D49" s="41"/>
      <c r="E49" s="41"/>
      <c r="F49" s="41"/>
      <c r="G49" s="41"/>
      <c r="H49" s="41"/>
      <c r="I49" s="41"/>
      <c r="J49" s="41"/>
      <c r="K49" s="41"/>
    </row>
    <row r="50" s="118" customFormat="1" ht="18.4" customHeight="1" spans="1:11">
      <c r="A50" s="129" t="s">
        <v>1303</v>
      </c>
      <c r="B50" s="41">
        <f t="shared" si="0"/>
        <v>0</v>
      </c>
      <c r="C50" s="41"/>
      <c r="D50" s="41"/>
      <c r="E50" s="41"/>
      <c r="F50" s="41"/>
      <c r="G50" s="41"/>
      <c r="H50" s="41"/>
      <c r="I50" s="41"/>
      <c r="J50" s="41"/>
      <c r="K50" s="41"/>
    </row>
    <row r="51" s="451" customFormat="1" ht="18.4" customHeight="1" spans="1:11">
      <c r="A51" s="129" t="s">
        <v>1304</v>
      </c>
      <c r="B51" s="41">
        <f t="shared" si="0"/>
        <v>0</v>
      </c>
      <c r="C51" s="41"/>
      <c r="D51" s="41"/>
      <c r="E51" s="41"/>
      <c r="F51" s="41"/>
      <c r="G51" s="41"/>
      <c r="H51" s="41"/>
      <c r="I51" s="41"/>
      <c r="J51" s="41"/>
      <c r="K51" s="41"/>
    </row>
    <row r="52" s="118" customFormat="1" ht="18.4" customHeight="1" spans="1:11">
      <c r="A52" s="129" t="s">
        <v>1267</v>
      </c>
      <c r="B52" s="41">
        <f t="shared" si="0"/>
        <v>0</v>
      </c>
      <c r="C52" s="41"/>
      <c r="D52" s="41"/>
      <c r="E52" s="41"/>
      <c r="F52" s="41"/>
      <c r="G52" s="41"/>
      <c r="H52" s="41"/>
      <c r="I52" s="41"/>
      <c r="J52" s="41"/>
      <c r="K52" s="41"/>
    </row>
    <row r="53" s="451" customFormat="1" ht="18.4" customHeight="1" spans="1:11">
      <c r="A53" s="127" t="s">
        <v>1305</v>
      </c>
      <c r="B53" s="128">
        <f t="shared" si="0"/>
        <v>405</v>
      </c>
      <c r="C53" s="128">
        <f t="shared" ref="C53:K53" si="9">SUM(C54:C55)</f>
        <v>0</v>
      </c>
      <c r="D53" s="128">
        <f t="shared" si="9"/>
        <v>0</v>
      </c>
      <c r="E53" s="128">
        <f t="shared" si="9"/>
        <v>0</v>
      </c>
      <c r="F53" s="128">
        <f t="shared" si="9"/>
        <v>-15</v>
      </c>
      <c r="G53" s="128">
        <f t="shared" si="9"/>
        <v>420</v>
      </c>
      <c r="H53" s="128">
        <f t="shared" si="9"/>
        <v>0</v>
      </c>
      <c r="I53" s="128">
        <f t="shared" si="9"/>
        <v>0</v>
      </c>
      <c r="J53" s="128">
        <f t="shared" si="9"/>
        <v>0</v>
      </c>
      <c r="K53" s="128">
        <f t="shared" si="9"/>
        <v>0</v>
      </c>
    </row>
    <row r="54" s="118" customFormat="1" ht="18.4" customHeight="1" spans="1:11">
      <c r="A54" s="129" t="s">
        <v>1306</v>
      </c>
      <c r="B54" s="41">
        <f t="shared" si="0"/>
        <v>0</v>
      </c>
      <c r="C54" s="41"/>
      <c r="D54" s="41"/>
      <c r="E54" s="41"/>
      <c r="F54" s="41"/>
      <c r="G54" s="41"/>
      <c r="H54" s="41"/>
      <c r="I54" s="41"/>
      <c r="J54" s="41"/>
      <c r="K54" s="41"/>
    </row>
    <row r="55" s="118" customFormat="1" ht="18.4" customHeight="1" spans="1:11">
      <c r="A55" s="129" t="s">
        <v>1267</v>
      </c>
      <c r="B55" s="41">
        <f t="shared" si="0"/>
        <v>405</v>
      </c>
      <c r="C55" s="41"/>
      <c r="D55" s="41"/>
      <c r="E55" s="41"/>
      <c r="F55" s="41">
        <v>-15</v>
      </c>
      <c r="G55" s="41">
        <v>420</v>
      </c>
      <c r="H55" s="41"/>
      <c r="I55" s="41"/>
      <c r="J55" s="41"/>
      <c r="K55" s="41"/>
    </row>
    <row r="56" s="118" customFormat="1" ht="18.4" customHeight="1" spans="1:11">
      <c r="A56" s="127" t="s">
        <v>1307</v>
      </c>
      <c r="B56" s="128">
        <f t="shared" si="0"/>
        <v>0</v>
      </c>
      <c r="C56" s="128">
        <f t="shared" ref="C56:K56" si="10">SUM(C57)</f>
        <v>0</v>
      </c>
      <c r="D56" s="128">
        <f t="shared" si="10"/>
        <v>0</v>
      </c>
      <c r="E56" s="128">
        <f t="shared" si="10"/>
        <v>0</v>
      </c>
      <c r="F56" s="128">
        <f t="shared" si="10"/>
        <v>0</v>
      </c>
      <c r="G56" s="128">
        <f t="shared" si="10"/>
        <v>0</v>
      </c>
      <c r="H56" s="128">
        <f t="shared" si="10"/>
        <v>0</v>
      </c>
      <c r="I56" s="128">
        <f t="shared" si="10"/>
        <v>0</v>
      </c>
      <c r="J56" s="128">
        <f t="shared" si="10"/>
        <v>0</v>
      </c>
      <c r="K56" s="128">
        <f t="shared" si="10"/>
        <v>0</v>
      </c>
    </row>
    <row r="57" s="451" customFormat="1" ht="18.4" customHeight="1" spans="1:11">
      <c r="A57" s="129" t="s">
        <v>1308</v>
      </c>
      <c r="B57" s="41">
        <f t="shared" si="0"/>
        <v>0</v>
      </c>
      <c r="C57" s="41"/>
      <c r="D57" s="41"/>
      <c r="E57" s="41"/>
      <c r="F57" s="41"/>
      <c r="G57" s="41"/>
      <c r="H57" s="41"/>
      <c r="I57" s="41"/>
      <c r="J57" s="41"/>
      <c r="K57" s="41"/>
    </row>
    <row r="58" s="118" customFormat="1" ht="18.4" customHeight="1" spans="1:11">
      <c r="A58" s="127" t="s">
        <v>1309</v>
      </c>
      <c r="B58" s="128">
        <f t="shared" si="0"/>
        <v>50</v>
      </c>
      <c r="C58" s="128">
        <f t="shared" ref="C58:K58" si="11">SUM(C59)</f>
        <v>0</v>
      </c>
      <c r="D58" s="128">
        <f t="shared" si="11"/>
        <v>0</v>
      </c>
      <c r="E58" s="128">
        <f t="shared" si="11"/>
        <v>50</v>
      </c>
      <c r="F58" s="128">
        <f t="shared" si="11"/>
        <v>0</v>
      </c>
      <c r="G58" s="128">
        <f t="shared" si="11"/>
        <v>0</v>
      </c>
      <c r="H58" s="128">
        <f t="shared" si="11"/>
        <v>0</v>
      </c>
      <c r="I58" s="128">
        <f t="shared" si="11"/>
        <v>0</v>
      </c>
      <c r="J58" s="128">
        <f t="shared" si="11"/>
        <v>0</v>
      </c>
      <c r="K58" s="128">
        <f t="shared" si="11"/>
        <v>0</v>
      </c>
    </row>
    <row r="59" s="118" customFormat="1" ht="18.4" customHeight="1" spans="1:11">
      <c r="A59" s="129" t="s">
        <v>1310</v>
      </c>
      <c r="B59" s="41">
        <f t="shared" si="0"/>
        <v>50</v>
      </c>
      <c r="C59" s="41"/>
      <c r="D59" s="41"/>
      <c r="E59" s="41">
        <v>50</v>
      </c>
      <c r="F59" s="41"/>
      <c r="G59" s="41"/>
      <c r="H59" s="41"/>
      <c r="I59" s="41"/>
      <c r="J59" s="41"/>
      <c r="K59" s="41"/>
    </row>
    <row r="60" s="451" customFormat="1" ht="18.4" customHeight="1" spans="1:11">
      <c r="A60" s="127" t="s">
        <v>1311</v>
      </c>
      <c r="B60" s="128">
        <f t="shared" si="0"/>
        <v>0</v>
      </c>
      <c r="C60" s="128">
        <f t="shared" ref="C60:K60" si="12">SUM(C61)</f>
        <v>0</v>
      </c>
      <c r="D60" s="128">
        <f t="shared" si="12"/>
        <v>0</v>
      </c>
      <c r="E60" s="128">
        <f t="shared" si="12"/>
        <v>0</v>
      </c>
      <c r="F60" s="128">
        <f t="shared" si="12"/>
        <v>0</v>
      </c>
      <c r="G60" s="128">
        <f t="shared" si="12"/>
        <v>0</v>
      </c>
      <c r="H60" s="128">
        <f t="shared" si="12"/>
        <v>0</v>
      </c>
      <c r="I60" s="128">
        <f t="shared" si="12"/>
        <v>0</v>
      </c>
      <c r="J60" s="128">
        <f t="shared" si="12"/>
        <v>0</v>
      </c>
      <c r="K60" s="128">
        <f t="shared" si="12"/>
        <v>0</v>
      </c>
    </row>
    <row r="61" s="119" customFormat="1" ht="18.4" customHeight="1" spans="1:11">
      <c r="A61" s="129" t="s">
        <v>1267</v>
      </c>
      <c r="B61" s="41">
        <f t="shared" si="0"/>
        <v>0</v>
      </c>
      <c r="C61" s="41"/>
      <c r="D61" s="41"/>
      <c r="E61" s="41"/>
      <c r="F61" s="41"/>
      <c r="G61" s="41"/>
      <c r="H61" s="41"/>
      <c r="I61" s="41"/>
      <c r="J61" s="41"/>
      <c r="K61" s="41"/>
    </row>
    <row r="62" s="119" customFormat="1" ht="20.1" customHeight="1" spans="1:11">
      <c r="A62" s="127" t="s">
        <v>1312</v>
      </c>
      <c r="B62" s="128">
        <f t="shared" si="0"/>
        <v>0</v>
      </c>
      <c r="C62" s="128">
        <f t="shared" ref="C62:K62" si="13">SUM(C63)</f>
        <v>0</v>
      </c>
      <c r="D62" s="128">
        <f t="shared" si="13"/>
        <v>0</v>
      </c>
      <c r="E62" s="128">
        <f t="shared" si="13"/>
        <v>0</v>
      </c>
      <c r="F62" s="128">
        <f t="shared" si="13"/>
        <v>0</v>
      </c>
      <c r="G62" s="128">
        <f t="shared" si="13"/>
        <v>0</v>
      </c>
      <c r="H62" s="128">
        <f t="shared" si="13"/>
        <v>0</v>
      </c>
      <c r="I62" s="128">
        <f t="shared" si="13"/>
        <v>0</v>
      </c>
      <c r="J62" s="128">
        <f t="shared" si="13"/>
        <v>0</v>
      </c>
      <c r="K62" s="128">
        <f t="shared" si="13"/>
        <v>0</v>
      </c>
    </row>
    <row r="63" s="119" customFormat="1" ht="20.1" customHeight="1" spans="1:11">
      <c r="A63" s="129" t="s">
        <v>1267</v>
      </c>
      <c r="B63" s="41">
        <f t="shared" si="0"/>
        <v>0</v>
      </c>
      <c r="C63" s="41"/>
      <c r="D63" s="41"/>
      <c r="E63" s="41"/>
      <c r="F63" s="41"/>
      <c r="G63" s="41"/>
      <c r="H63" s="41"/>
      <c r="I63" s="41"/>
      <c r="J63" s="41"/>
      <c r="K63" s="41"/>
    </row>
    <row r="64" s="119" customFormat="1" ht="20.1" customHeight="1" spans="1:11">
      <c r="A64" s="127" t="s">
        <v>1313</v>
      </c>
      <c r="B64" s="128">
        <f t="shared" si="0"/>
        <v>0</v>
      </c>
      <c r="C64" s="128">
        <f t="shared" ref="C64:K64" si="14">SUM(C65)</f>
        <v>0</v>
      </c>
      <c r="D64" s="128">
        <f t="shared" si="14"/>
        <v>0</v>
      </c>
      <c r="E64" s="128">
        <f t="shared" si="14"/>
        <v>0</v>
      </c>
      <c r="F64" s="128">
        <f t="shared" si="14"/>
        <v>0</v>
      </c>
      <c r="G64" s="128">
        <f t="shared" si="14"/>
        <v>0</v>
      </c>
      <c r="H64" s="128">
        <f t="shared" si="14"/>
        <v>0</v>
      </c>
      <c r="I64" s="128">
        <f t="shared" si="14"/>
        <v>0</v>
      </c>
      <c r="J64" s="128">
        <f t="shared" si="14"/>
        <v>0</v>
      </c>
      <c r="K64" s="128">
        <f t="shared" si="14"/>
        <v>0</v>
      </c>
    </row>
    <row r="65" s="119" customFormat="1" ht="20.1" customHeight="1" spans="1:11">
      <c r="A65" s="129" t="s">
        <v>1267</v>
      </c>
      <c r="B65" s="41">
        <f t="shared" si="0"/>
        <v>0</v>
      </c>
      <c r="C65" s="41"/>
      <c r="D65" s="41"/>
      <c r="E65" s="41"/>
      <c r="F65" s="41"/>
      <c r="G65" s="41"/>
      <c r="H65" s="41"/>
      <c r="I65" s="41"/>
      <c r="J65" s="41"/>
      <c r="K65" s="41"/>
    </row>
    <row r="66" s="119" customFormat="1" ht="20.1" customHeight="1" spans="1:11">
      <c r="A66" s="127" t="s">
        <v>1314</v>
      </c>
      <c r="B66" s="128">
        <f t="shared" si="0"/>
        <v>3677</v>
      </c>
      <c r="C66" s="128">
        <f t="shared" ref="C66:K66" si="15">SUM(C67:C72)</f>
        <v>0</v>
      </c>
      <c r="D66" s="128">
        <f t="shared" si="15"/>
        <v>1630</v>
      </c>
      <c r="E66" s="128">
        <f t="shared" si="15"/>
        <v>78</v>
      </c>
      <c r="F66" s="128">
        <f t="shared" si="15"/>
        <v>156</v>
      </c>
      <c r="G66" s="128">
        <f t="shared" si="15"/>
        <v>1813</v>
      </c>
      <c r="H66" s="128">
        <f t="shared" si="15"/>
        <v>0</v>
      </c>
      <c r="I66" s="128">
        <f t="shared" si="15"/>
        <v>0</v>
      </c>
      <c r="J66" s="128">
        <f t="shared" si="15"/>
        <v>0</v>
      </c>
      <c r="K66" s="128">
        <f t="shared" si="15"/>
        <v>0</v>
      </c>
    </row>
    <row r="67" s="119" customFormat="1" ht="20.1" customHeight="1" spans="1:11">
      <c r="A67" s="129" t="s">
        <v>1315</v>
      </c>
      <c r="B67" s="41">
        <f t="shared" si="0"/>
        <v>2215</v>
      </c>
      <c r="C67" s="41"/>
      <c r="D67" s="41">
        <v>1630</v>
      </c>
      <c r="E67" s="41"/>
      <c r="F67" s="41">
        <v>20</v>
      </c>
      <c r="G67" s="41">
        <v>565</v>
      </c>
      <c r="H67" s="41"/>
      <c r="I67" s="41"/>
      <c r="J67" s="41"/>
      <c r="K67" s="41"/>
    </row>
    <row r="68" s="119" customFormat="1" ht="20.1" customHeight="1" spans="1:11">
      <c r="A68" s="129" t="s">
        <v>1316</v>
      </c>
      <c r="B68" s="41">
        <f t="shared" si="0"/>
        <v>0</v>
      </c>
      <c r="C68" s="41"/>
      <c r="D68" s="41"/>
      <c r="E68" s="41"/>
      <c r="F68" s="41"/>
      <c r="G68" s="41"/>
      <c r="H68" s="41"/>
      <c r="I68" s="41"/>
      <c r="J68" s="41"/>
      <c r="K68" s="41"/>
    </row>
    <row r="69" ht="20.1" customHeight="1" spans="1:11">
      <c r="A69" s="129" t="s">
        <v>1317</v>
      </c>
      <c r="B69" s="41">
        <f t="shared" ref="B69:B90" si="16">SUM(C69:K69)</f>
        <v>0</v>
      </c>
      <c r="C69" s="41"/>
      <c r="D69" s="41"/>
      <c r="E69" s="41"/>
      <c r="F69" s="41"/>
      <c r="G69" s="41"/>
      <c r="H69" s="41"/>
      <c r="I69" s="41"/>
      <c r="J69" s="41"/>
      <c r="K69" s="41"/>
    </row>
    <row r="70" ht="20.1" customHeight="1" spans="1:11">
      <c r="A70" s="129" t="s">
        <v>1318</v>
      </c>
      <c r="B70" s="41">
        <f t="shared" si="16"/>
        <v>0</v>
      </c>
      <c r="C70" s="41"/>
      <c r="D70" s="41"/>
      <c r="E70" s="41"/>
      <c r="F70" s="41"/>
      <c r="G70" s="41"/>
      <c r="H70" s="41"/>
      <c r="I70" s="41"/>
      <c r="J70" s="41"/>
      <c r="K70" s="41"/>
    </row>
    <row r="71" ht="20.1" customHeight="1" spans="1:11">
      <c r="A71" s="129" t="s">
        <v>1319</v>
      </c>
      <c r="B71" s="41">
        <f t="shared" si="16"/>
        <v>1462</v>
      </c>
      <c r="C71" s="41"/>
      <c r="D71" s="41"/>
      <c r="E71" s="41">
        <v>78</v>
      </c>
      <c r="F71" s="41">
        <v>136</v>
      </c>
      <c r="G71" s="41">
        <v>1248</v>
      </c>
      <c r="H71" s="41"/>
      <c r="I71" s="41"/>
      <c r="J71" s="41"/>
      <c r="K71" s="41"/>
    </row>
    <row r="72" spans="1:11">
      <c r="A72" s="129" t="s">
        <v>1320</v>
      </c>
      <c r="B72" s="41">
        <f t="shared" si="16"/>
        <v>0</v>
      </c>
      <c r="C72" s="41"/>
      <c r="D72" s="41"/>
      <c r="E72" s="41"/>
      <c r="F72" s="41"/>
      <c r="G72" s="41"/>
      <c r="H72" s="41"/>
      <c r="I72" s="41"/>
      <c r="J72" s="41"/>
      <c r="K72" s="41"/>
    </row>
    <row r="73" spans="1:11">
      <c r="A73" s="127" t="s">
        <v>1321</v>
      </c>
      <c r="B73" s="128">
        <f t="shared" si="16"/>
        <v>5782</v>
      </c>
      <c r="C73" s="128">
        <f t="shared" ref="C73:K73" si="17">SUM(C74:C76)</f>
        <v>0</v>
      </c>
      <c r="D73" s="128">
        <f t="shared" si="17"/>
        <v>0</v>
      </c>
      <c r="E73" s="128">
        <f t="shared" si="17"/>
        <v>0</v>
      </c>
      <c r="F73" s="128">
        <f t="shared" si="17"/>
        <v>0</v>
      </c>
      <c r="G73" s="128">
        <f t="shared" si="17"/>
        <v>0</v>
      </c>
      <c r="H73" s="128">
        <f t="shared" si="17"/>
        <v>0</v>
      </c>
      <c r="I73" s="128">
        <f t="shared" si="17"/>
        <v>0</v>
      </c>
      <c r="J73" s="128">
        <f t="shared" si="17"/>
        <v>5782</v>
      </c>
      <c r="K73" s="128">
        <f t="shared" si="17"/>
        <v>0</v>
      </c>
    </row>
    <row r="74" spans="1:11">
      <c r="A74" s="129" t="s">
        <v>1322</v>
      </c>
      <c r="B74" s="41">
        <f t="shared" si="16"/>
        <v>5782</v>
      </c>
      <c r="C74" s="41"/>
      <c r="D74" s="41"/>
      <c r="E74" s="41"/>
      <c r="F74" s="41"/>
      <c r="G74" s="41"/>
      <c r="H74" s="41"/>
      <c r="I74" s="41"/>
      <c r="J74" s="41">
        <v>5782</v>
      </c>
      <c r="K74" s="41"/>
    </row>
    <row r="75" spans="1:11">
      <c r="A75" s="129" t="s">
        <v>1323</v>
      </c>
      <c r="B75" s="41">
        <f t="shared" si="16"/>
        <v>0</v>
      </c>
      <c r="C75" s="41"/>
      <c r="D75" s="41"/>
      <c r="E75" s="41"/>
      <c r="F75" s="41"/>
      <c r="G75" s="41"/>
      <c r="H75" s="41"/>
      <c r="I75" s="41"/>
      <c r="J75" s="41"/>
      <c r="K75" s="41"/>
    </row>
    <row r="76" spans="1:11">
      <c r="A76" s="129" t="s">
        <v>1324</v>
      </c>
      <c r="B76" s="41">
        <f t="shared" si="16"/>
        <v>0</v>
      </c>
      <c r="C76" s="41"/>
      <c r="D76" s="41"/>
      <c r="E76" s="41"/>
      <c r="F76" s="41"/>
      <c r="G76" s="41"/>
      <c r="H76" s="41"/>
      <c r="I76" s="41"/>
      <c r="J76" s="41"/>
      <c r="K76" s="41"/>
    </row>
    <row r="77" spans="1:11">
      <c r="A77" s="127" t="s">
        <v>1325</v>
      </c>
      <c r="B77" s="128">
        <f t="shared" si="16"/>
        <v>2845</v>
      </c>
      <c r="C77" s="128">
        <f t="shared" ref="C77:K77" si="18">SUM(C78)</f>
        <v>1973</v>
      </c>
      <c r="D77" s="128">
        <f t="shared" si="18"/>
        <v>872</v>
      </c>
      <c r="E77" s="128">
        <f t="shared" si="18"/>
        <v>0</v>
      </c>
      <c r="F77" s="128">
        <f t="shared" si="18"/>
        <v>0</v>
      </c>
      <c r="G77" s="128">
        <f t="shared" si="18"/>
        <v>0</v>
      </c>
      <c r="H77" s="128">
        <f t="shared" si="18"/>
        <v>0</v>
      </c>
      <c r="I77" s="128">
        <f t="shared" si="18"/>
        <v>0</v>
      </c>
      <c r="J77" s="128">
        <f t="shared" si="18"/>
        <v>0</v>
      </c>
      <c r="K77" s="128">
        <f t="shared" si="18"/>
        <v>0</v>
      </c>
    </row>
    <row r="78" spans="1:11">
      <c r="A78" s="129" t="s">
        <v>1326</v>
      </c>
      <c r="B78" s="41">
        <f t="shared" si="16"/>
        <v>2845</v>
      </c>
      <c r="C78" s="41">
        <v>1973</v>
      </c>
      <c r="D78" s="41">
        <v>872</v>
      </c>
      <c r="E78" s="41"/>
      <c r="F78" s="41"/>
      <c r="G78" s="41"/>
      <c r="H78" s="41"/>
      <c r="I78" s="41"/>
      <c r="J78" s="41"/>
      <c r="K78" s="41"/>
    </row>
    <row r="79" spans="1:11">
      <c r="A79" s="127" t="s">
        <v>1327</v>
      </c>
      <c r="B79" s="128">
        <f t="shared" si="16"/>
        <v>23</v>
      </c>
      <c r="C79" s="128">
        <f t="shared" ref="C79:K79" si="19">SUM(C80)</f>
        <v>0</v>
      </c>
      <c r="D79" s="128">
        <f t="shared" si="19"/>
        <v>23</v>
      </c>
      <c r="E79" s="128">
        <f t="shared" si="19"/>
        <v>0</v>
      </c>
      <c r="F79" s="128">
        <f t="shared" si="19"/>
        <v>0</v>
      </c>
      <c r="G79" s="128">
        <f t="shared" si="19"/>
        <v>0</v>
      </c>
      <c r="H79" s="128">
        <f t="shared" si="19"/>
        <v>0</v>
      </c>
      <c r="I79" s="128">
        <f t="shared" si="19"/>
        <v>0</v>
      </c>
      <c r="J79" s="128">
        <f t="shared" si="19"/>
        <v>0</v>
      </c>
      <c r="K79" s="128">
        <f t="shared" si="19"/>
        <v>0</v>
      </c>
    </row>
    <row r="80" spans="1:11">
      <c r="A80" s="129" t="s">
        <v>1328</v>
      </c>
      <c r="B80" s="41">
        <f t="shared" si="16"/>
        <v>23</v>
      </c>
      <c r="C80" s="41"/>
      <c r="D80" s="41">
        <v>23</v>
      </c>
      <c r="E80" s="41"/>
      <c r="F80" s="41"/>
      <c r="G80" s="41"/>
      <c r="H80" s="41"/>
      <c r="I80" s="41"/>
      <c r="J80" s="41"/>
      <c r="K80" s="41"/>
    </row>
    <row r="81" spans="1:11">
      <c r="A81" s="127" t="s">
        <v>1329</v>
      </c>
      <c r="B81" s="128">
        <f t="shared" si="16"/>
        <v>0</v>
      </c>
      <c r="C81" s="128">
        <f t="shared" ref="C81:K81" si="20">SUM(C82:C83)</f>
        <v>0</v>
      </c>
      <c r="D81" s="128">
        <f t="shared" si="20"/>
        <v>0</v>
      </c>
      <c r="E81" s="128">
        <f t="shared" si="20"/>
        <v>0</v>
      </c>
      <c r="F81" s="128">
        <f t="shared" si="20"/>
        <v>0</v>
      </c>
      <c r="G81" s="128">
        <f t="shared" si="20"/>
        <v>0</v>
      </c>
      <c r="H81" s="128">
        <f t="shared" si="20"/>
        <v>0</v>
      </c>
      <c r="I81" s="128">
        <f t="shared" si="20"/>
        <v>0</v>
      </c>
      <c r="J81" s="128">
        <f t="shared" si="20"/>
        <v>0</v>
      </c>
      <c r="K81" s="128">
        <f t="shared" si="20"/>
        <v>0</v>
      </c>
    </row>
    <row r="82" spans="1:11">
      <c r="A82" s="129" t="s">
        <v>1330</v>
      </c>
      <c r="B82" s="41">
        <f t="shared" si="16"/>
        <v>0</v>
      </c>
      <c r="C82" s="41"/>
      <c r="D82" s="41"/>
      <c r="E82" s="41"/>
      <c r="F82" s="41"/>
      <c r="G82" s="41"/>
      <c r="H82" s="41"/>
      <c r="I82" s="41"/>
      <c r="J82" s="41"/>
      <c r="K82" s="41"/>
    </row>
    <row r="83" spans="1:11">
      <c r="A83" s="129" t="s">
        <v>1331</v>
      </c>
      <c r="B83" s="41">
        <f t="shared" si="16"/>
        <v>0</v>
      </c>
      <c r="C83" s="41"/>
      <c r="D83" s="41"/>
      <c r="E83" s="41"/>
      <c r="F83" s="41"/>
      <c r="G83" s="41"/>
      <c r="H83" s="41"/>
      <c r="I83" s="41"/>
      <c r="J83" s="41"/>
      <c r="K83" s="41"/>
    </row>
    <row r="84" spans="1:11">
      <c r="A84" s="127" t="s">
        <v>1332</v>
      </c>
      <c r="B84" s="128">
        <f t="shared" si="16"/>
        <v>0</v>
      </c>
      <c r="C84" s="128">
        <v>11463</v>
      </c>
      <c r="D84" s="128">
        <v>-11463</v>
      </c>
      <c r="E84" s="128"/>
      <c r="F84" s="128"/>
      <c r="G84" s="128"/>
      <c r="H84" s="128"/>
      <c r="I84" s="128"/>
      <c r="J84" s="128"/>
      <c r="K84" s="128"/>
    </row>
    <row r="85" spans="1:11">
      <c r="A85" s="454"/>
      <c r="B85" s="455">
        <f t="shared" si="16"/>
        <v>0</v>
      </c>
      <c r="C85" s="455"/>
      <c r="D85" s="455"/>
      <c r="E85" s="455"/>
      <c r="F85" s="455"/>
      <c r="G85" s="455"/>
      <c r="H85" s="455"/>
      <c r="I85" s="455"/>
      <c r="J85" s="455"/>
      <c r="K85" s="455"/>
    </row>
    <row r="86" spans="1:11">
      <c r="A86" s="454"/>
      <c r="B86" s="455">
        <f t="shared" si="16"/>
        <v>0</v>
      </c>
      <c r="C86" s="455"/>
      <c r="D86" s="455"/>
      <c r="E86" s="455"/>
      <c r="F86" s="455"/>
      <c r="G86" s="455"/>
      <c r="H86" s="455"/>
      <c r="I86" s="455"/>
      <c r="J86" s="455"/>
      <c r="K86" s="455"/>
    </row>
    <row r="87" spans="1:11">
      <c r="A87" s="454"/>
      <c r="B87" s="455">
        <f t="shared" si="16"/>
        <v>0</v>
      </c>
      <c r="C87" s="455"/>
      <c r="D87" s="455"/>
      <c r="E87" s="455"/>
      <c r="F87" s="455"/>
      <c r="G87" s="455"/>
      <c r="H87" s="455"/>
      <c r="I87" s="455"/>
      <c r="J87" s="455"/>
      <c r="K87" s="455"/>
    </row>
    <row r="88" spans="1:11">
      <c r="A88" s="454"/>
      <c r="B88" s="455">
        <f t="shared" si="16"/>
        <v>0</v>
      </c>
      <c r="C88" s="455"/>
      <c r="D88" s="455"/>
      <c r="E88" s="455"/>
      <c r="F88" s="455"/>
      <c r="G88" s="455"/>
      <c r="H88" s="455"/>
      <c r="I88" s="455"/>
      <c r="J88" s="455"/>
      <c r="K88" s="455"/>
    </row>
    <row r="89" spans="1:11">
      <c r="A89" s="454"/>
      <c r="B89" s="455">
        <f t="shared" si="16"/>
        <v>0</v>
      </c>
      <c r="C89" s="455"/>
      <c r="D89" s="455"/>
      <c r="E89" s="455"/>
      <c r="F89" s="455"/>
      <c r="G89" s="455"/>
      <c r="H89" s="455"/>
      <c r="I89" s="455"/>
      <c r="J89" s="455"/>
      <c r="K89" s="455"/>
    </row>
    <row r="90" spans="1:11">
      <c r="A90" s="138" t="s">
        <v>1333</v>
      </c>
      <c r="B90" s="139">
        <f t="shared" si="16"/>
        <v>60377</v>
      </c>
      <c r="C90" s="139">
        <f t="shared" ref="C90:K90" si="21">C5+C7+C10+C15+C17+C21+C33+C43+C53+C56+C58+C60+C62+C64+C66+C73+C77+C79+C81+C84</f>
        <v>23600</v>
      </c>
      <c r="D90" s="139">
        <f t="shared" si="21"/>
        <v>-10676</v>
      </c>
      <c r="E90" s="139">
        <f t="shared" si="21"/>
        <v>1122</v>
      </c>
      <c r="F90" s="139">
        <f t="shared" si="21"/>
        <v>241</v>
      </c>
      <c r="G90" s="139">
        <f t="shared" si="21"/>
        <v>20236</v>
      </c>
      <c r="H90" s="139">
        <f t="shared" si="21"/>
        <v>-1083</v>
      </c>
      <c r="I90" s="139">
        <f t="shared" si="21"/>
        <v>0</v>
      </c>
      <c r="J90" s="139">
        <f t="shared" si="21"/>
        <v>26937</v>
      </c>
      <c r="K90" s="139">
        <f t="shared" si="21"/>
        <v>0</v>
      </c>
    </row>
  </sheetData>
  <mergeCells count="12">
    <mergeCell ref="A1:K1"/>
    <mergeCell ref="A3:A4"/>
    <mergeCell ref="B3:B4"/>
    <mergeCell ref="C3:C4"/>
    <mergeCell ref="D3:D4"/>
    <mergeCell ref="E3:E4"/>
    <mergeCell ref="F3:F4"/>
    <mergeCell ref="G3:G4"/>
    <mergeCell ref="H3:H4"/>
    <mergeCell ref="I3:I4"/>
    <mergeCell ref="J3:J4"/>
    <mergeCell ref="K3:K4"/>
  </mergeCells>
  <pageMargins left="0.708661417322835" right="0.708661417322835" top="0.551181102362205" bottom="0.748031496062992" header="0.31496062992126" footer="0.31496062992126"/>
  <pageSetup paperSize="9" scale="83" fitToHeight="10" orientation="landscape" blackAndWhite="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zoomScaleSheetLayoutView="60" workbookViewId="0">
      <selection activeCell="L16" sqref="L16"/>
    </sheetView>
  </sheetViews>
  <sheetFormatPr defaultColWidth="9" defaultRowHeight="30" customHeight="1"/>
  <cols>
    <col min="1" max="1" width="33.25" style="388" customWidth="1"/>
    <col min="2" max="2" width="8.5" style="388"/>
    <col min="3" max="3" width="10" style="388" customWidth="1"/>
    <col min="4" max="4" width="9.875" style="389" customWidth="1"/>
    <col min="5" max="5" width="11.5" style="389" customWidth="1"/>
    <col min="6" max="6" width="35.375" style="389"/>
    <col min="7" max="7" width="8.5" style="389"/>
    <col min="8" max="8" width="11" style="389" customWidth="1"/>
    <col min="9" max="9" width="8.5" style="389"/>
    <col min="10" max="10" width="11.25" style="389" customWidth="1"/>
    <col min="11" max="11" width="9" style="117" customWidth="1"/>
    <col min="12" max="12" width="9.375" style="117" customWidth="1"/>
    <col min="13" max="14" width="9" style="117" customWidth="1"/>
    <col min="15" max="252" width="9" style="117"/>
    <col min="253" max="16384" width="9" style="213"/>
  </cols>
  <sheetData>
    <row r="1" s="117" customFormat="1" customHeight="1" spans="1:256">
      <c r="A1" s="655" t="s">
        <v>1334</v>
      </c>
      <c r="B1" s="275"/>
      <c r="C1" s="275"/>
      <c r="D1" s="275"/>
      <c r="E1" s="275"/>
      <c r="F1" s="275"/>
      <c r="G1" s="275"/>
      <c r="H1" s="275"/>
      <c r="I1" s="275"/>
      <c r="J1" s="275"/>
      <c r="IS1" s="213"/>
      <c r="IT1" s="213"/>
      <c r="IU1" s="213"/>
      <c r="IV1" s="213"/>
    </row>
    <row r="2" s="117" customFormat="1" customHeight="1" spans="1:256">
      <c r="A2" s="271"/>
      <c r="B2" s="271"/>
      <c r="C2" s="271"/>
      <c r="D2" s="391"/>
      <c r="E2" s="391"/>
      <c r="F2" s="388"/>
      <c r="G2" s="388"/>
      <c r="H2" s="388"/>
      <c r="I2" s="388"/>
      <c r="J2" s="447" t="s">
        <v>1335</v>
      </c>
      <c r="IS2" s="213"/>
      <c r="IT2" s="213"/>
      <c r="IU2" s="213"/>
      <c r="IV2" s="213"/>
    </row>
    <row r="3" s="440" customFormat="1" customHeight="1" spans="1:10">
      <c r="A3" s="395" t="s">
        <v>1336</v>
      </c>
      <c r="B3" s="442"/>
      <c r="C3" s="442"/>
      <c r="D3" s="442"/>
      <c r="E3" s="396"/>
      <c r="F3" s="395" t="s">
        <v>1337</v>
      </c>
      <c r="G3" s="442"/>
      <c r="H3" s="442"/>
      <c r="I3" s="442"/>
      <c r="J3" s="396"/>
    </row>
    <row r="4" s="440" customFormat="1" customHeight="1" spans="1:10">
      <c r="A4" s="443" t="s">
        <v>1338</v>
      </c>
      <c r="B4" s="443" t="s">
        <v>1339</v>
      </c>
      <c r="C4" s="671" t="s">
        <v>1340</v>
      </c>
      <c r="D4" s="443" t="s">
        <v>1341</v>
      </c>
      <c r="E4" s="444" t="s">
        <v>1342</v>
      </c>
      <c r="F4" s="443" t="s">
        <v>1338</v>
      </c>
      <c r="G4" s="443" t="s">
        <v>1339</v>
      </c>
      <c r="H4" s="671" t="s">
        <v>1340</v>
      </c>
      <c r="I4" s="443" t="s">
        <v>1341</v>
      </c>
      <c r="J4" s="444" t="s">
        <v>1342</v>
      </c>
    </row>
    <row r="5" s="440" customFormat="1" customHeight="1" spans="1:10">
      <c r="A5" s="672" t="s">
        <v>1343</v>
      </c>
      <c r="B5" s="72">
        <f>SUM(B6:B11)</f>
        <v>31323</v>
      </c>
      <c r="C5" s="72">
        <f>SUM(C6:C11)</f>
        <v>30645</v>
      </c>
      <c r="D5" s="72">
        <f>SUM(D6:D11)</f>
        <v>30375</v>
      </c>
      <c r="E5" s="445">
        <f t="shared" ref="E5:E20" si="0">D5/C5*100</f>
        <v>99.12</v>
      </c>
      <c r="F5" s="672" t="s">
        <v>1344</v>
      </c>
      <c r="G5" s="72">
        <f t="shared" ref="G5:I5" si="1">SUM(G6:G10)</f>
        <v>26041</v>
      </c>
      <c r="H5" s="72">
        <f t="shared" si="1"/>
        <v>26371</v>
      </c>
      <c r="I5" s="72">
        <f t="shared" si="1"/>
        <v>26184</v>
      </c>
      <c r="J5" s="445">
        <f t="shared" ref="J5:J9" si="2">I5/H5*100</f>
        <v>99.29</v>
      </c>
    </row>
    <row r="6" s="440" customFormat="1" customHeight="1" spans="1:10">
      <c r="A6" s="75" t="s">
        <v>1345</v>
      </c>
      <c r="B6" s="97">
        <v>18968</v>
      </c>
      <c r="C6" s="97">
        <v>17790</v>
      </c>
      <c r="D6" s="97">
        <v>18057</v>
      </c>
      <c r="E6" s="446">
        <f t="shared" si="0"/>
        <v>101.5</v>
      </c>
      <c r="F6" s="75" t="s">
        <v>1346</v>
      </c>
      <c r="G6" s="76">
        <v>25935</v>
      </c>
      <c r="H6" s="76">
        <v>26265</v>
      </c>
      <c r="I6" s="76">
        <v>26065</v>
      </c>
      <c r="J6" s="446">
        <f t="shared" si="2"/>
        <v>99.24</v>
      </c>
    </row>
    <row r="7" s="440" customFormat="1" customHeight="1" spans="1:10">
      <c r="A7" s="673" t="s">
        <v>1347</v>
      </c>
      <c r="B7" s="76">
        <v>8751</v>
      </c>
      <c r="C7" s="76">
        <v>9251</v>
      </c>
      <c r="D7" s="76">
        <v>8666</v>
      </c>
      <c r="E7" s="446">
        <f t="shared" si="0"/>
        <v>93.68</v>
      </c>
      <c r="F7" s="75" t="s">
        <v>1348</v>
      </c>
      <c r="G7" s="76"/>
      <c r="H7" s="76"/>
      <c r="I7" s="76"/>
      <c r="J7" s="446"/>
    </row>
    <row r="8" s="440" customFormat="1" customHeight="1" spans="1:10">
      <c r="A8" s="75" t="s">
        <v>1349</v>
      </c>
      <c r="B8" s="76">
        <v>19</v>
      </c>
      <c r="C8" s="76">
        <v>19</v>
      </c>
      <c r="D8" s="76">
        <v>30</v>
      </c>
      <c r="E8" s="446">
        <f t="shared" si="0"/>
        <v>157.89</v>
      </c>
      <c r="F8" s="75" t="s">
        <v>1350</v>
      </c>
      <c r="G8" s="76">
        <v>22</v>
      </c>
      <c r="H8" s="76">
        <v>22</v>
      </c>
      <c r="I8" s="76">
        <v>47</v>
      </c>
      <c r="J8" s="446">
        <f t="shared" si="2"/>
        <v>213.64</v>
      </c>
    </row>
    <row r="9" s="440" customFormat="1" customHeight="1" spans="1:10">
      <c r="A9" s="75" t="s">
        <v>1351</v>
      </c>
      <c r="B9" s="79">
        <v>450</v>
      </c>
      <c r="C9" s="76">
        <v>450</v>
      </c>
      <c r="D9" s="79">
        <v>489</v>
      </c>
      <c r="E9" s="446">
        <f t="shared" si="0"/>
        <v>108.67</v>
      </c>
      <c r="F9" s="75" t="s">
        <v>1352</v>
      </c>
      <c r="G9" s="79">
        <v>84</v>
      </c>
      <c r="H9" s="76">
        <v>84</v>
      </c>
      <c r="I9" s="79">
        <v>72</v>
      </c>
      <c r="J9" s="446">
        <f t="shared" si="2"/>
        <v>85.71</v>
      </c>
    </row>
    <row r="10" s="440" customFormat="1" customHeight="1" spans="1:10">
      <c r="A10" s="75" t="s">
        <v>1353</v>
      </c>
      <c r="B10" s="76">
        <v>4</v>
      </c>
      <c r="C10" s="76">
        <v>4</v>
      </c>
      <c r="D10" s="76">
        <v>2</v>
      </c>
      <c r="E10" s="446">
        <f t="shared" si="0"/>
        <v>50</v>
      </c>
      <c r="F10" s="75"/>
      <c r="G10" s="76"/>
      <c r="H10" s="76"/>
      <c r="I10" s="72"/>
      <c r="J10" s="446"/>
    </row>
    <row r="11" s="440" customFormat="1" customHeight="1" spans="1:10">
      <c r="A11" s="75" t="s">
        <v>1354</v>
      </c>
      <c r="B11" s="79">
        <v>3131</v>
      </c>
      <c r="C11" s="79">
        <v>3131</v>
      </c>
      <c r="D11" s="76">
        <v>3131</v>
      </c>
      <c r="E11" s="446">
        <f t="shared" si="0"/>
        <v>100</v>
      </c>
      <c r="F11" s="75" t="s">
        <v>1355</v>
      </c>
      <c r="G11" s="79">
        <f>B5-G5</f>
        <v>5282</v>
      </c>
      <c r="H11" s="79">
        <f>C5-H6-H7-H8-H9</f>
        <v>4274</v>
      </c>
      <c r="I11" s="79">
        <f>D5-I6-I7-I8-I9</f>
        <v>4191</v>
      </c>
      <c r="J11" s="446">
        <f t="shared" ref="J11:J16" si="3">I11/H11*100</f>
        <v>98.06</v>
      </c>
    </row>
    <row r="12" s="440" customFormat="1" customHeight="1" spans="1:10">
      <c r="A12" s="674" t="s">
        <v>1356</v>
      </c>
      <c r="B12" s="72">
        <f>SUM(B13:B19)</f>
        <v>42649</v>
      </c>
      <c r="C12" s="72">
        <f>SUM(C13:C19)</f>
        <v>47818</v>
      </c>
      <c r="D12" s="72">
        <f>SUM(D13:D19)</f>
        <v>49791</v>
      </c>
      <c r="E12" s="445">
        <f t="shared" si="0"/>
        <v>104.13</v>
      </c>
      <c r="F12" s="674" t="s">
        <v>1357</v>
      </c>
      <c r="G12" s="72">
        <f t="shared" ref="G12:I12" si="4">SUM(G13:G18)</f>
        <v>12715</v>
      </c>
      <c r="H12" s="72">
        <f t="shared" si="4"/>
        <v>13512</v>
      </c>
      <c r="I12" s="72">
        <f t="shared" si="4"/>
        <v>13458</v>
      </c>
      <c r="J12" s="445">
        <f t="shared" si="3"/>
        <v>99.6</v>
      </c>
    </row>
    <row r="13" s="440" customFormat="1" customHeight="1" spans="1:10">
      <c r="A13" s="75" t="s">
        <v>1358</v>
      </c>
      <c r="B13" s="76">
        <v>2871</v>
      </c>
      <c r="C13" s="76">
        <v>3962</v>
      </c>
      <c r="D13" s="76">
        <v>5158</v>
      </c>
      <c r="E13" s="446">
        <f t="shared" si="0"/>
        <v>130.19</v>
      </c>
      <c r="F13" s="75" t="s">
        <v>1359</v>
      </c>
      <c r="G13" s="76">
        <v>11910</v>
      </c>
      <c r="H13" s="76">
        <v>12584</v>
      </c>
      <c r="I13" s="76">
        <v>12508</v>
      </c>
      <c r="J13" s="446">
        <f t="shared" si="3"/>
        <v>99.4</v>
      </c>
    </row>
    <row r="14" s="440" customFormat="1" customHeight="1" spans="1:10">
      <c r="A14" s="75" t="s">
        <v>1360</v>
      </c>
      <c r="B14" s="76">
        <v>12282</v>
      </c>
      <c r="C14" s="76">
        <v>16336</v>
      </c>
      <c r="D14" s="76">
        <v>16336</v>
      </c>
      <c r="E14" s="446">
        <f t="shared" si="0"/>
        <v>100</v>
      </c>
      <c r="F14" s="75" t="s">
        <v>1361</v>
      </c>
      <c r="G14" s="76">
        <v>662</v>
      </c>
      <c r="H14" s="76">
        <v>795</v>
      </c>
      <c r="I14" s="76">
        <v>821</v>
      </c>
      <c r="J14" s="446">
        <f t="shared" si="3"/>
        <v>103.27</v>
      </c>
    </row>
    <row r="15" s="441" customFormat="1" customHeight="1" spans="1:256">
      <c r="A15" s="75" t="s">
        <v>1349</v>
      </c>
      <c r="B15" s="76">
        <v>128</v>
      </c>
      <c r="C15" s="76">
        <v>117</v>
      </c>
      <c r="D15" s="76">
        <v>109</v>
      </c>
      <c r="E15" s="446">
        <f t="shared" si="0"/>
        <v>93.16</v>
      </c>
      <c r="F15" s="75" t="s">
        <v>1362</v>
      </c>
      <c r="G15" s="76">
        <v>132</v>
      </c>
      <c r="H15" s="76">
        <v>122</v>
      </c>
      <c r="I15" s="76">
        <v>120</v>
      </c>
      <c r="J15" s="446">
        <f t="shared" si="3"/>
        <v>98.36</v>
      </c>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119"/>
      <c r="IG15" s="119"/>
      <c r="IH15" s="119"/>
      <c r="II15" s="119"/>
      <c r="IJ15" s="119"/>
      <c r="IK15" s="119"/>
      <c r="IL15" s="119"/>
      <c r="IM15" s="119"/>
      <c r="IN15" s="119"/>
      <c r="IO15" s="119"/>
      <c r="IP15" s="119"/>
      <c r="IQ15" s="119"/>
      <c r="IR15" s="119"/>
      <c r="IS15" s="450"/>
      <c r="IT15" s="450"/>
      <c r="IU15" s="450"/>
      <c r="IV15" s="450"/>
    </row>
    <row r="16" s="117" customFormat="1" customHeight="1" spans="1:256">
      <c r="A16" s="75" t="s">
        <v>1363</v>
      </c>
      <c r="B16" s="76">
        <v>571</v>
      </c>
      <c r="C16" s="76">
        <v>538</v>
      </c>
      <c r="D16" s="76">
        <v>1191</v>
      </c>
      <c r="E16" s="446">
        <f t="shared" si="0"/>
        <v>221.38</v>
      </c>
      <c r="F16" s="75" t="s">
        <v>1350</v>
      </c>
      <c r="G16" s="76">
        <v>9</v>
      </c>
      <c r="H16" s="76">
        <v>9</v>
      </c>
      <c r="I16" s="76">
        <v>4</v>
      </c>
      <c r="J16" s="446">
        <f t="shared" si="3"/>
        <v>44.44</v>
      </c>
      <c r="IS16" s="213"/>
      <c r="IT16" s="213"/>
      <c r="IU16" s="213"/>
      <c r="IV16" s="213"/>
    </row>
    <row r="17" s="117" customFormat="1" customHeight="1" spans="1:256">
      <c r="A17" s="75" t="s">
        <v>1351</v>
      </c>
      <c r="B17" s="76">
        <v>18</v>
      </c>
      <c r="C17" s="76">
        <v>18</v>
      </c>
      <c r="D17" s="76">
        <v>48</v>
      </c>
      <c r="E17" s="446">
        <f t="shared" si="0"/>
        <v>266.67</v>
      </c>
      <c r="F17" s="75" t="s">
        <v>1364</v>
      </c>
      <c r="G17" s="76">
        <v>2</v>
      </c>
      <c r="H17" s="76">
        <v>2</v>
      </c>
      <c r="I17" s="448">
        <v>5</v>
      </c>
      <c r="J17" s="446"/>
      <c r="IS17" s="213"/>
      <c r="IT17" s="213"/>
      <c r="IU17" s="213"/>
      <c r="IV17" s="213"/>
    </row>
    <row r="18" s="117" customFormat="1" customHeight="1" spans="1:256">
      <c r="A18" s="75" t="s">
        <v>1353</v>
      </c>
      <c r="B18" s="76">
        <v>0</v>
      </c>
      <c r="C18" s="76">
        <v>68</v>
      </c>
      <c r="D18" s="76">
        <v>170</v>
      </c>
      <c r="E18" s="446">
        <f t="shared" si="0"/>
        <v>250</v>
      </c>
      <c r="F18" s="75"/>
      <c r="G18" s="76"/>
      <c r="H18" s="76"/>
      <c r="I18" s="449"/>
      <c r="J18" s="446"/>
      <c r="IS18" s="213"/>
      <c r="IT18" s="213"/>
      <c r="IU18" s="213"/>
      <c r="IV18" s="213"/>
    </row>
    <row r="19" s="117" customFormat="1" customHeight="1" spans="1:256">
      <c r="A19" s="75" t="s">
        <v>1365</v>
      </c>
      <c r="B19" s="76">
        <v>26779</v>
      </c>
      <c r="C19" s="76">
        <v>26779</v>
      </c>
      <c r="D19" s="76">
        <v>26779</v>
      </c>
      <c r="E19" s="446">
        <f t="shared" si="0"/>
        <v>100</v>
      </c>
      <c r="F19" s="75" t="s">
        <v>1355</v>
      </c>
      <c r="G19" s="79">
        <f>B12-G12</f>
        <v>29934</v>
      </c>
      <c r="H19" s="79">
        <f>C12-H12</f>
        <v>34306</v>
      </c>
      <c r="I19" s="79">
        <f>D12-I12</f>
        <v>36333</v>
      </c>
      <c r="J19" s="446">
        <f>I19/H19*100</f>
        <v>105.91</v>
      </c>
      <c r="IS19" s="213"/>
      <c r="IT19" s="213"/>
      <c r="IU19" s="213"/>
      <c r="IV19" s="213"/>
    </row>
    <row r="20" s="117" customFormat="1" customHeight="1" spans="1:256">
      <c r="A20" s="398" t="s">
        <v>1366</v>
      </c>
      <c r="B20" s="72">
        <f>SUM(B5+B12)</f>
        <v>73972</v>
      </c>
      <c r="C20" s="72">
        <f>SUM(C5+C12)</f>
        <v>78463</v>
      </c>
      <c r="D20" s="72">
        <f>SUM(D5+D12)</f>
        <v>80166</v>
      </c>
      <c r="E20" s="445">
        <f t="shared" si="0"/>
        <v>102.17</v>
      </c>
      <c r="F20" s="398" t="s">
        <v>1366</v>
      </c>
      <c r="G20" s="72">
        <f t="shared" ref="G20:I20" si="5">SUM(G5+G12+G11+G19)</f>
        <v>73972</v>
      </c>
      <c r="H20" s="72">
        <f t="shared" si="5"/>
        <v>78463</v>
      </c>
      <c r="I20" s="72">
        <f t="shared" si="5"/>
        <v>80166</v>
      </c>
      <c r="J20" s="445">
        <f>I20/H20*100</f>
        <v>102.17</v>
      </c>
      <c r="IS20" s="213"/>
      <c r="IT20" s="213"/>
      <c r="IU20" s="213"/>
      <c r="IV20" s="213"/>
    </row>
  </sheetData>
  <mergeCells count="3">
    <mergeCell ref="A1:J1"/>
    <mergeCell ref="A3:E3"/>
    <mergeCell ref="F3:J3"/>
  </mergeCells>
  <pageMargins left="0.708661417322835" right="0.708661417322835" top="0.748031496062992" bottom="0.748031496062992" header="0.31496062992126" footer="0.31496062992126"/>
  <pageSetup paperSize="9" scale="83" orientation="landscape"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showZeros="0" zoomScaleSheetLayoutView="60" workbookViewId="0">
      <selection activeCell="N16" sqref="N16"/>
    </sheetView>
  </sheetViews>
  <sheetFormatPr defaultColWidth="9" defaultRowHeight="15.75"/>
  <cols>
    <col min="1" max="1" width="23.875" style="431" customWidth="1"/>
    <col min="2" max="7" width="9" style="431"/>
    <col min="8" max="8" width="29.375" style="431" customWidth="1"/>
    <col min="9" max="14" width="9" style="431"/>
    <col min="15" max="16384" width="9" style="105"/>
  </cols>
  <sheetData>
    <row r="1" s="105" customFormat="1" ht="20.25" spans="1:14">
      <c r="A1" s="655" t="s">
        <v>1367</v>
      </c>
      <c r="B1" s="275"/>
      <c r="C1" s="275"/>
      <c r="D1" s="275"/>
      <c r="E1" s="275"/>
      <c r="F1" s="275"/>
      <c r="G1" s="275"/>
      <c r="H1" s="275"/>
      <c r="I1" s="275"/>
      <c r="J1" s="275"/>
      <c r="K1" s="275"/>
      <c r="L1" s="275"/>
      <c r="M1" s="275"/>
      <c r="N1" s="275"/>
    </row>
    <row r="2" s="105" customFormat="1" spans="1:14">
      <c r="A2" s="432"/>
      <c r="B2" s="432"/>
      <c r="C2" s="432"/>
      <c r="D2" s="432"/>
      <c r="E2" s="432"/>
      <c r="F2" s="432"/>
      <c r="G2" s="436"/>
      <c r="H2" s="436"/>
      <c r="I2" s="436"/>
      <c r="J2" s="436"/>
      <c r="K2" s="436"/>
      <c r="L2" s="436"/>
      <c r="M2" s="436"/>
      <c r="N2" s="439" t="s">
        <v>1368</v>
      </c>
    </row>
    <row r="3" s="105" customFormat="1" ht="25.5" customHeight="1" spans="1:14">
      <c r="A3" s="433" t="s">
        <v>1369</v>
      </c>
      <c r="B3" s="434"/>
      <c r="C3" s="434"/>
      <c r="D3" s="434"/>
      <c r="E3" s="434"/>
      <c r="F3" s="434"/>
      <c r="G3" s="435"/>
      <c r="H3" s="433" t="s">
        <v>1370</v>
      </c>
      <c r="I3" s="434"/>
      <c r="J3" s="434"/>
      <c r="K3" s="434"/>
      <c r="L3" s="434"/>
      <c r="M3" s="434"/>
      <c r="N3" s="435"/>
    </row>
    <row r="4" s="105" customFormat="1" ht="27.75" customHeight="1" spans="1:14">
      <c r="A4" s="122" t="s">
        <v>1371</v>
      </c>
      <c r="B4" s="675" t="s">
        <v>1372</v>
      </c>
      <c r="C4" s="434"/>
      <c r="D4" s="435"/>
      <c r="E4" s="676" t="s">
        <v>1373</v>
      </c>
      <c r="F4" s="438"/>
      <c r="G4" s="133"/>
      <c r="H4" s="122" t="s">
        <v>1371</v>
      </c>
      <c r="I4" s="676" t="s">
        <v>1372</v>
      </c>
      <c r="J4" s="438"/>
      <c r="K4" s="133"/>
      <c r="L4" s="676" t="s">
        <v>1373</v>
      </c>
      <c r="M4" s="438"/>
      <c r="N4" s="133"/>
    </row>
    <row r="5" s="105" customFormat="1" ht="30" customHeight="1" spans="1:14">
      <c r="A5" s="124"/>
      <c r="B5" s="42" t="s">
        <v>1259</v>
      </c>
      <c r="C5" s="42" t="s">
        <v>1374</v>
      </c>
      <c r="D5" s="656" t="s">
        <v>1375</v>
      </c>
      <c r="E5" s="42" t="s">
        <v>1259</v>
      </c>
      <c r="F5" s="42" t="s">
        <v>1374</v>
      </c>
      <c r="G5" s="656" t="s">
        <v>1375</v>
      </c>
      <c r="H5" s="124"/>
      <c r="I5" s="42" t="s">
        <v>1259</v>
      </c>
      <c r="J5" s="42" t="s">
        <v>1374</v>
      </c>
      <c r="K5" s="656" t="s">
        <v>1375</v>
      </c>
      <c r="L5" s="42" t="s">
        <v>1259</v>
      </c>
      <c r="M5" s="42" t="s">
        <v>1374</v>
      </c>
      <c r="N5" s="656" t="s">
        <v>1375</v>
      </c>
    </row>
    <row r="6" s="105" customFormat="1" ht="34.5" customHeight="1" spans="1:14">
      <c r="A6" s="41" t="s">
        <v>1376</v>
      </c>
      <c r="B6" s="41">
        <f t="shared" ref="B6:B16" si="0">SUM(C6:D6)</f>
        <v>0</v>
      </c>
      <c r="C6" s="41"/>
      <c r="D6" s="41"/>
      <c r="E6" s="41">
        <f t="shared" ref="E6:E16" si="1">SUM(F6:G6)</f>
        <v>0</v>
      </c>
      <c r="F6" s="41"/>
      <c r="G6" s="41"/>
      <c r="H6" s="12" t="s">
        <v>1377</v>
      </c>
      <c r="I6" s="41">
        <f t="shared" ref="I6:I10" si="2">J6+K6</f>
        <v>1</v>
      </c>
      <c r="J6" s="41"/>
      <c r="K6" s="41">
        <v>1</v>
      </c>
      <c r="L6" s="40">
        <f t="shared" ref="L6:L10" si="3">M6+N6</f>
        <v>10</v>
      </c>
      <c r="M6" s="40"/>
      <c r="N6" s="40">
        <v>10</v>
      </c>
    </row>
    <row r="7" s="105" customFormat="1" ht="34.5" customHeight="1" spans="1:14">
      <c r="A7" s="41" t="s">
        <v>1378</v>
      </c>
      <c r="B7" s="41">
        <f t="shared" si="0"/>
        <v>0</v>
      </c>
      <c r="C7" s="41"/>
      <c r="D7" s="41"/>
      <c r="E7" s="41">
        <f t="shared" si="1"/>
        <v>0</v>
      </c>
      <c r="F7" s="41"/>
      <c r="G7" s="41"/>
      <c r="H7" s="41" t="s">
        <v>1379</v>
      </c>
      <c r="I7" s="41">
        <f t="shared" si="2"/>
        <v>0</v>
      </c>
      <c r="J7" s="41"/>
      <c r="K7" s="41"/>
      <c r="L7" s="41">
        <f t="shared" si="3"/>
        <v>0</v>
      </c>
      <c r="M7" s="41"/>
      <c r="N7" s="41"/>
    </row>
    <row r="8" s="105" customFormat="1" ht="34.5" customHeight="1" spans="1:14">
      <c r="A8" s="41" t="s">
        <v>1380</v>
      </c>
      <c r="B8" s="41">
        <f t="shared" si="0"/>
        <v>0</v>
      </c>
      <c r="C8" s="41"/>
      <c r="D8" s="41"/>
      <c r="E8" s="41">
        <f t="shared" si="1"/>
        <v>0</v>
      </c>
      <c r="F8" s="41"/>
      <c r="G8" s="41"/>
      <c r="H8" s="41" t="s">
        <v>1381</v>
      </c>
      <c r="I8" s="41">
        <f t="shared" si="2"/>
        <v>0</v>
      </c>
      <c r="J8" s="41"/>
      <c r="K8" s="41"/>
      <c r="L8" s="41">
        <f t="shared" si="3"/>
        <v>0</v>
      </c>
      <c r="M8" s="41"/>
      <c r="N8" s="41"/>
    </row>
    <row r="9" s="105" customFormat="1" ht="34.5" customHeight="1" spans="1:14">
      <c r="A9" s="41" t="s">
        <v>1382</v>
      </c>
      <c r="B9" s="41">
        <f t="shared" si="0"/>
        <v>0</v>
      </c>
      <c r="C9" s="41"/>
      <c r="D9" s="41"/>
      <c r="E9" s="41">
        <f t="shared" si="1"/>
        <v>0</v>
      </c>
      <c r="F9" s="41"/>
      <c r="G9" s="41"/>
      <c r="H9" s="41" t="s">
        <v>1383</v>
      </c>
      <c r="I9" s="41">
        <f t="shared" si="2"/>
        <v>0</v>
      </c>
      <c r="J9" s="41"/>
      <c r="K9" s="41"/>
      <c r="L9" s="41">
        <f t="shared" si="3"/>
        <v>0</v>
      </c>
      <c r="M9" s="41"/>
      <c r="N9" s="41"/>
    </row>
    <row r="10" s="105" customFormat="1" ht="34.5" customHeight="1" spans="1:14">
      <c r="A10" s="43" t="s">
        <v>1384</v>
      </c>
      <c r="B10" s="41">
        <f t="shared" si="0"/>
        <v>0</v>
      </c>
      <c r="C10" s="40"/>
      <c r="D10" s="41"/>
      <c r="E10" s="41">
        <f t="shared" si="1"/>
        <v>0</v>
      </c>
      <c r="F10" s="40"/>
      <c r="G10" s="41"/>
      <c r="H10" s="41" t="s">
        <v>1385</v>
      </c>
      <c r="I10" s="41">
        <f t="shared" si="2"/>
        <v>0</v>
      </c>
      <c r="J10" s="41"/>
      <c r="K10" s="41"/>
      <c r="L10" s="41">
        <f t="shared" si="3"/>
        <v>0</v>
      </c>
      <c r="M10" s="41"/>
      <c r="N10" s="41"/>
    </row>
    <row r="11" s="105" customFormat="1" ht="34.5" customHeight="1" spans="1:14">
      <c r="A11" s="40"/>
      <c r="B11" s="41">
        <f t="shared" si="0"/>
        <v>0</v>
      </c>
      <c r="C11" s="47"/>
      <c r="D11" s="47"/>
      <c r="E11" s="41">
        <f t="shared" si="1"/>
        <v>0</v>
      </c>
      <c r="F11" s="47"/>
      <c r="G11" s="47"/>
      <c r="H11" s="41"/>
      <c r="I11" s="41"/>
      <c r="J11" s="41"/>
      <c r="K11" s="41"/>
      <c r="L11" s="41"/>
      <c r="M11" s="41"/>
      <c r="N11" s="41"/>
    </row>
    <row r="12" s="105" customFormat="1" ht="34.5" customHeight="1" spans="1:14">
      <c r="A12" s="42" t="s">
        <v>1386</v>
      </c>
      <c r="B12" s="41">
        <f t="shared" si="0"/>
        <v>0</v>
      </c>
      <c r="C12" s="48">
        <f t="shared" ref="C12:G12" si="4">SUM(C6:C10)</f>
        <v>0</v>
      </c>
      <c r="D12" s="48">
        <f t="shared" si="4"/>
        <v>0</v>
      </c>
      <c r="E12" s="41">
        <f t="shared" si="1"/>
        <v>0</v>
      </c>
      <c r="F12" s="48">
        <f t="shared" si="4"/>
        <v>0</v>
      </c>
      <c r="G12" s="48">
        <f t="shared" si="4"/>
        <v>0</v>
      </c>
      <c r="H12" s="42" t="s">
        <v>1387</v>
      </c>
      <c r="I12" s="41">
        <f t="shared" ref="I12:I16" si="5">J12+K12</f>
        <v>1</v>
      </c>
      <c r="J12" s="40">
        <f t="shared" ref="J12:N12" si="6">SUM(J6:J10)</f>
        <v>0</v>
      </c>
      <c r="K12" s="40">
        <f t="shared" si="6"/>
        <v>1</v>
      </c>
      <c r="L12" s="40">
        <f t="shared" ref="L12:L16" si="7">M12+N12</f>
        <v>10</v>
      </c>
      <c r="M12" s="40">
        <f t="shared" si="6"/>
        <v>0</v>
      </c>
      <c r="N12" s="40">
        <f t="shared" si="6"/>
        <v>10</v>
      </c>
    </row>
    <row r="13" s="105" customFormat="1" ht="34.5" customHeight="1" spans="1:14">
      <c r="A13" s="43" t="s">
        <v>1388</v>
      </c>
      <c r="B13" s="41">
        <f t="shared" si="0"/>
        <v>6</v>
      </c>
      <c r="C13" s="40"/>
      <c r="D13" s="40">
        <v>6</v>
      </c>
      <c r="E13" s="41">
        <f t="shared" si="1"/>
        <v>7</v>
      </c>
      <c r="F13" s="40"/>
      <c r="G13" s="40">
        <v>7</v>
      </c>
      <c r="H13" s="43" t="s">
        <v>1389</v>
      </c>
      <c r="I13" s="40">
        <f>J13</f>
        <v>0</v>
      </c>
      <c r="J13" s="40"/>
      <c r="K13" s="40" t="s">
        <v>1390</v>
      </c>
      <c r="L13" s="40">
        <f>M13</f>
        <v>0</v>
      </c>
      <c r="M13" s="40"/>
      <c r="N13" s="40" t="s">
        <v>1390</v>
      </c>
    </row>
    <row r="14" s="105" customFormat="1" ht="34.5" customHeight="1" spans="1:14">
      <c r="A14" s="43" t="s">
        <v>1391</v>
      </c>
      <c r="B14" s="41">
        <f t="shared" si="0"/>
        <v>20</v>
      </c>
      <c r="C14" s="40"/>
      <c r="D14" s="40">
        <v>20</v>
      </c>
      <c r="E14" s="41">
        <f t="shared" si="1"/>
        <v>25</v>
      </c>
      <c r="F14" s="40"/>
      <c r="G14" s="40">
        <v>25</v>
      </c>
      <c r="H14" s="41" t="s">
        <v>1392</v>
      </c>
      <c r="I14" s="40">
        <f t="shared" si="5"/>
        <v>0</v>
      </c>
      <c r="J14" s="41"/>
      <c r="K14" s="41"/>
      <c r="L14" s="40">
        <f t="shared" si="7"/>
        <v>0</v>
      </c>
      <c r="M14" s="41"/>
      <c r="N14" s="41"/>
    </row>
    <row r="15" s="105" customFormat="1" ht="34.5" customHeight="1" spans="1:14">
      <c r="A15" s="48"/>
      <c r="B15" s="41">
        <f t="shared" si="0"/>
        <v>0</v>
      </c>
      <c r="C15" s="41"/>
      <c r="D15" s="41"/>
      <c r="E15" s="41">
        <f t="shared" si="1"/>
        <v>0</v>
      </c>
      <c r="F15" s="41"/>
      <c r="G15" s="41"/>
      <c r="H15" s="41" t="s">
        <v>1393</v>
      </c>
      <c r="I15" s="40">
        <f t="shared" si="5"/>
        <v>25</v>
      </c>
      <c r="J15" s="40"/>
      <c r="K15" s="40">
        <v>25</v>
      </c>
      <c r="L15" s="40">
        <f t="shared" si="7"/>
        <v>22</v>
      </c>
      <c r="M15" s="40"/>
      <c r="N15" s="40">
        <v>22</v>
      </c>
    </row>
    <row r="16" s="105" customFormat="1" ht="34.5" customHeight="1" spans="1:14">
      <c r="A16" s="42" t="s">
        <v>1394</v>
      </c>
      <c r="B16" s="41">
        <f t="shared" si="0"/>
        <v>26</v>
      </c>
      <c r="C16" s="40">
        <f t="shared" ref="C16:G16" si="8">C12+C13+C14</f>
        <v>0</v>
      </c>
      <c r="D16" s="40">
        <f t="shared" si="8"/>
        <v>26</v>
      </c>
      <c r="E16" s="41">
        <f t="shared" si="1"/>
        <v>32</v>
      </c>
      <c r="F16" s="40">
        <f t="shared" si="8"/>
        <v>0</v>
      </c>
      <c r="G16" s="40">
        <f t="shared" si="8"/>
        <v>32</v>
      </c>
      <c r="H16" s="42" t="s">
        <v>1395</v>
      </c>
      <c r="I16" s="40">
        <f t="shared" si="5"/>
        <v>26</v>
      </c>
      <c r="J16" s="40">
        <f>J12+J13+J14+J15</f>
        <v>0</v>
      </c>
      <c r="K16" s="40">
        <f>K12+K14+K15</f>
        <v>26</v>
      </c>
      <c r="L16" s="40">
        <f t="shared" si="7"/>
        <v>32</v>
      </c>
      <c r="M16" s="40">
        <f>M12+M13+M14+M15</f>
        <v>0</v>
      </c>
      <c r="N16" s="40">
        <f>N12+N14+N15</f>
        <v>32</v>
      </c>
    </row>
  </sheetData>
  <mergeCells count="9">
    <mergeCell ref="A1:N1"/>
    <mergeCell ref="A3:G3"/>
    <mergeCell ref="H3:N3"/>
    <mergeCell ref="B4:D4"/>
    <mergeCell ref="E4:G4"/>
    <mergeCell ref="I4:K4"/>
    <mergeCell ref="L4:N4"/>
    <mergeCell ref="A4:A5"/>
    <mergeCell ref="H4:H5"/>
  </mergeCells>
  <pageMargins left="0.708661417322835" right="0.708661417322835" top="0.748031496062992" bottom="0.748031496062992" header="0.31496062992126" footer="0.31496062992126"/>
  <pageSetup paperSize="9" scale="76" orientation="landscape" blackAndWhite="1"/>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37</vt:i4>
      </vt:variant>
    </vt:vector>
  </HeadingPairs>
  <TitlesOfParts>
    <vt:vector size="37" baseType="lpstr">
      <vt:lpstr>目录</vt:lpstr>
      <vt:lpstr>表一、2025年公共财政预算收入执行情况表</vt:lpstr>
      <vt:lpstr>表二、2025年预算平衡情况表</vt:lpstr>
      <vt:lpstr>表三、2025年公共财政支出预算执行情况表</vt:lpstr>
      <vt:lpstr>表四、2025年公共财政支出变动表</vt:lpstr>
      <vt:lpstr>表五、2025年政府性基金收支执行明细表 </vt:lpstr>
      <vt:lpstr>表六、2025年政府性基金支出来源情况表 </vt:lpstr>
      <vt:lpstr>表七、2025年社保基金执行情况</vt:lpstr>
      <vt:lpstr>表八、2025年国有资本经营执行情况表</vt:lpstr>
      <vt:lpstr>表九、2025年三公经费执行情况表</vt:lpstr>
      <vt:lpstr>表十、2025年其他社保基金执行情况</vt:lpstr>
      <vt:lpstr>表十一、2026年一般公共预算收入表</vt:lpstr>
      <vt:lpstr>表十二、2026年一般公共预算支出表</vt:lpstr>
      <vt:lpstr>表十三、2025年一般公共预算本级支出表</vt:lpstr>
      <vt:lpstr>表十四、2026年一般公共预算基本支出经济分类预算表</vt:lpstr>
      <vt:lpstr>表十五、2026年一般公共预算本级基本支出表</vt:lpstr>
      <vt:lpstr>表十六、2026年一般公共预算税收返还和转移支付表</vt:lpstr>
      <vt:lpstr>表十七、2026年一般公共预算平衡表</vt:lpstr>
      <vt:lpstr>表十八、2026年一般公共预算平衡表（县级财力）</vt:lpstr>
      <vt:lpstr>表十九、2026年一般公共预算支出资金来源情况表</vt:lpstr>
      <vt:lpstr>表二十、2026年政府一般债务限额和余额情况表</vt:lpstr>
      <vt:lpstr>表二十一、2026年政府性基金预算收入表 </vt:lpstr>
      <vt:lpstr>表二十二、2026年政府性基金预算支出表</vt:lpstr>
      <vt:lpstr>表二十三、2026年政府性基金预算收支表</vt:lpstr>
      <vt:lpstr>表二十四、2026年本级政府性基金支出表</vt:lpstr>
      <vt:lpstr>表二十五、2026年政府性基金预算收支明细表</vt:lpstr>
      <vt:lpstr>表二十六、2026年政府性基金预算转移支付表</vt:lpstr>
      <vt:lpstr>表二十七、2026年政府性基金预算支出资金来源情况表</vt:lpstr>
      <vt:lpstr>表二十八、2026年政府专项债务限额和余额情况表</vt:lpstr>
      <vt:lpstr>表二十九、2026年社会保险金预算</vt:lpstr>
      <vt:lpstr>表三十、2026年社会保险金预算收入表</vt:lpstr>
      <vt:lpstr>表三十一、2026年社会保险金预算支出表</vt:lpstr>
      <vt:lpstr>表三十二、2026年国有资本经营预算收支总表</vt:lpstr>
      <vt:lpstr>表三十三、2026年国有资本经营预算收入表 </vt:lpstr>
      <vt:lpstr>表三十四、2026年国有资本经营预算支出表</vt:lpstr>
      <vt:lpstr>表三十五、2026年本级国有资本经营预算支出表</vt:lpstr>
      <vt:lpstr>表三十六、2026年三公经费预算表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韦</dc:creator>
  <cp:lastModifiedBy>gxxc</cp:lastModifiedBy>
  <dcterms:created xsi:type="dcterms:W3CDTF">2014-12-25T17:08:00Z</dcterms:created>
  <cp:lastPrinted>2023-01-13T11:55:00Z</cp:lastPrinted>
  <dcterms:modified xsi:type="dcterms:W3CDTF">2026-04-15T10:28:19Z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9A6E15C7F5EF8DD4C3F7DE697C9327F9_43</vt:lpwstr>
  </property>
  <property fmtid="{D5CDD505-2E9C-101B-9397-08002B2CF9AE}" pid="3" name="KSOProductBuildVer">
    <vt:lpwstr>2052-12.1.2.22571</vt:lpwstr>
  </property>
</Properties>
</file>